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wrcnvrt-my.sharepoint.com/personal/paul_d_smith_omnionpower_com/Documents/Documents/OmniOn Power/Website/Tools/"/>
    </mc:Choice>
  </mc:AlternateContent>
  <xr:revisionPtr revIDLastSave="0" documentId="8_{5629E1B8-8077-453F-B7BB-A4F42AC2118C}" xr6:coauthVersionLast="47" xr6:coauthVersionMax="47" xr10:uidLastSave="{00000000-0000-0000-0000-000000000000}"/>
  <workbookProtection workbookPassword="ED30" lockStructure="1"/>
  <bookViews>
    <workbookView xWindow="29040" yWindow="480" windowWidth="23775" windowHeight="14565" xr2:uid="{00000000-000D-0000-FFFF-FFFF00000000}"/>
  </bookViews>
  <sheets>
    <sheet name="Input Parameters" sheetId="4" r:id="rId1"/>
    <sheet name="Wire Resistance Data Set" sheetId="5" state="hidden" r:id="rId2"/>
  </sheets>
  <externalReferences>
    <externalReference r:id="rId3"/>
  </externalReferences>
  <definedNames>
    <definedName name="_dis1">#REF!</definedName>
    <definedName name="_dis2">#REF!</definedName>
    <definedName name="_res05">#REF!</definedName>
    <definedName name="_res08">#REF!</definedName>
    <definedName name="_res1">#REF!</definedName>
    <definedName name="actual_max_current_1">'Input Parameters'!$F$45</definedName>
    <definedName name="actual_max_current_2">'Input Parameters'!$F$57</definedName>
    <definedName name="actual_max_current_3">'Input Parameters'!$F$69</definedName>
    <definedName name="actual_max_current_4">'Input Parameters'!$F$81</definedName>
    <definedName name="channels_required_1_pair">'Input Parameters'!$F$49</definedName>
    <definedName name="channels_required_2_pair">'Input Parameters'!$F$61</definedName>
    <definedName name="channels_required_3_pair">'Input Parameters'!$F$73</definedName>
    <definedName name="channels_required_4_pair">'Input Parameters'!$F$85</definedName>
    <definedName name="effeciency">'Input Parameters'!$F$7</definedName>
    <definedName name="icon">#REF!</definedName>
    <definedName name="min_input_current_threshold">'Input Parameters'!$F$6</definedName>
    <definedName name="min_source_current">'Input Parameters'!$F$5</definedName>
    <definedName name="min_source_voltage">'Input Parameters'!$F$4</definedName>
    <definedName name="number_of_cards_required_1_pair">'Input Parameters'!$F$50</definedName>
    <definedName name="number_of_cards_required_2_pair">'Input Parameters'!$F$62</definedName>
    <definedName name="number_of_cards_required_3_pair">'Input Parameters'!$F$74</definedName>
    <definedName name="number_of_cards_required_4_pair">'Input Parameters'!$F$86</definedName>
    <definedName name="number_of_pairs_1">'Input Parameters'!$F$41</definedName>
    <definedName name="number_of_pairs_2">'Input Parameters'!$F$53</definedName>
    <definedName name="number_of_pairs_3">'Input Parameters'!$F$65</definedName>
    <definedName name="number_of_pairs_4">'Input Parameters'!$F$77</definedName>
    <definedName name="number_of_pairs_required_1">'Input Parameters'!$F$51</definedName>
    <definedName name="number_of_pairs_required_2">'Input Parameters'!$F$63</definedName>
    <definedName name="number_of_pairs_required_3">'Input Parameters'!$F$75</definedName>
    <definedName name="number_of_pairs_required_4">'Input Parameters'!$F$87</definedName>
    <definedName name="ohms_per_thousand_feet">'Wire Resistance Data Set'!$H$16:$H$27</definedName>
    <definedName name="ohms_per_thousand_meters">'Wire Resistance Data Set'!$I$16:$I$27</definedName>
    <definedName name="one_way_distance">'Input Parameters'!$F$15</definedName>
    <definedName name="OPTF">'Input Parameters'!$F$39</definedName>
    <definedName name="_xlnm.Print_Area" localSheetId="0">'Input Parameters'!$A$1:$H$63</definedName>
    <definedName name="pwr">#REF!</definedName>
    <definedName name="rating_select">#REF!</definedName>
    <definedName name="resistivity">'Wire Resistance Data Set'!$G$4</definedName>
    <definedName name="temp_ambient">'[1]UL 310 Ampacity'!$E$6</definedName>
    <definedName name="temp_correction">#REF!</definedName>
    <definedName name="temp_wire">'[1]UL 310 Ampacity'!$E$5</definedName>
    <definedName name="theoretical_max_stable_current">'Input Parameters'!$F$43</definedName>
    <definedName name="theoretical_max_stable_current_1">'Input Parameters'!$F$43</definedName>
    <definedName name="theoretical_max_stable_current_2">'Input Parameters'!$F$55</definedName>
    <definedName name="theoretical_max_stable_current_3">'Input Parameters'!$F$67</definedName>
    <definedName name="theoretical_max_stable_current_4">'Input Parameters'!$F$79</definedName>
    <definedName name="total_loop_resistance_1">'Input Parameters'!$F$42</definedName>
    <definedName name="total_loop_resistance_2">'Input Parameters'!$F$54</definedName>
    <definedName name="total_loop_resistance_3">'Input Parameters'!$F$66</definedName>
    <definedName name="total_loop_resistance_4">'Input Parameters'!$F$78</definedName>
    <definedName name="VA_limited_current">'Input Parameters'!$F$44</definedName>
    <definedName name="voltage_available_to_load_1_pair">'Input Parameters'!$F$47</definedName>
    <definedName name="voltage_available_to_load_2_pair">'Input Parameters'!$F$59</definedName>
    <definedName name="voltage_available_to_load_3_pair">'Input Parameters'!$F$71</definedName>
    <definedName name="voltage_available_to_load_4_pair">'Input Parameters'!$F$83</definedName>
    <definedName name="voltage_drop_in_wire_at_actual_max_current_1">'Input Parameters'!$F$46</definedName>
    <definedName name="voltage_drop_in_wire_at_actual_max_current_2">'Input Parameters'!$F$58</definedName>
    <definedName name="voltage_drop_in_wire_at_actual_max_current_3">'Input Parameters'!$F$70</definedName>
    <definedName name="voltage_drop_in_wire_at_actual_max_current_4">'Input Parameters'!$F$82</definedName>
    <definedName name="watts_at_48v">'Input Parameters'!$F$11</definedName>
    <definedName name="watts_per_channel_at_1_pair">'Input Parameters'!$F$48</definedName>
    <definedName name="watts_per_channel_at_2_pair">'Input Parameters'!$F$60</definedName>
    <definedName name="watts_per_channel_at_3_pair">'Input Parameters'!$F$72</definedName>
    <definedName name="watts_per_channel_at_4_pair">'Input Parameters'!$F$84</definedName>
    <definedName name="wire_gage">'Input Parameters'!$F$13</definedName>
    <definedName name="wire_gages">'Wire Resistance Data Set'!$B$16:$B$27</definedName>
    <definedName name="wire_size">#REF!</definedName>
  </definedNames>
  <calcPr calcId="191029"/>
  <customWorkbookViews>
    <customWorkbookView name="Viewing Area" guid="{80BCE19E-6A83-47B6-B8B9-5AD5475E47AD}" maximized="1" windowWidth="817" windowHeight="500" activeSheetId="4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4" l="1"/>
  <c r="F6" i="4"/>
  <c r="F80" i="4"/>
  <c r="F68" i="4"/>
  <c r="F56" i="4"/>
  <c r="F44" i="4"/>
  <c r="C27" i="5"/>
  <c r="E27" i="5"/>
  <c r="H27" i="5" s="1"/>
  <c r="I27" i="5" s="1"/>
  <c r="C6" i="5"/>
  <c r="E6" i="5" s="1"/>
  <c r="C5" i="5"/>
  <c r="E5" i="5"/>
  <c r="H5" i="5" s="1"/>
  <c r="I5" i="5" s="1"/>
  <c r="C7" i="5"/>
  <c r="D7" i="5" s="1"/>
  <c r="C8" i="5"/>
  <c r="E8" i="5"/>
  <c r="H8" i="5" s="1"/>
  <c r="I8" i="5" s="1"/>
  <c r="C9" i="5"/>
  <c r="E9" i="5" s="1"/>
  <c r="H9" i="5" s="1"/>
  <c r="I9" i="5" s="1"/>
  <c r="C10" i="5"/>
  <c r="E10" i="5"/>
  <c r="H10" i="5" s="1"/>
  <c r="I10" i="5" s="1"/>
  <c r="C11" i="5"/>
  <c r="E11" i="5" s="1"/>
  <c r="H11" i="5" s="1"/>
  <c r="I11" i="5" s="1"/>
  <c r="C12" i="5"/>
  <c r="E12" i="5"/>
  <c r="H12" i="5" s="1"/>
  <c r="I12" i="5" s="1"/>
  <c r="C13" i="5"/>
  <c r="E13" i="5" s="1"/>
  <c r="H13" i="5" s="1"/>
  <c r="I13" i="5" s="1"/>
  <c r="C14" i="5"/>
  <c r="E14" i="5"/>
  <c r="H14" i="5" s="1"/>
  <c r="I14" i="5" s="1"/>
  <c r="C15" i="5"/>
  <c r="D15" i="5" s="1"/>
  <c r="C16" i="5"/>
  <c r="E16" i="5"/>
  <c r="H16" i="5" s="1"/>
  <c r="I16" i="5" s="1"/>
  <c r="C17" i="5"/>
  <c r="E17" i="5" s="1"/>
  <c r="H17" i="5" s="1"/>
  <c r="I17" i="5" s="1"/>
  <c r="C18" i="5"/>
  <c r="E18" i="5"/>
  <c r="H18" i="5" s="1"/>
  <c r="I18" i="5" s="1"/>
  <c r="C19" i="5"/>
  <c r="E19" i="5" s="1"/>
  <c r="H19" i="5" s="1"/>
  <c r="I19" i="5" s="1"/>
  <c r="C20" i="5"/>
  <c r="E20" i="5"/>
  <c r="H20" i="5" s="1"/>
  <c r="I20" i="5" s="1"/>
  <c r="C21" i="5"/>
  <c r="E21" i="5" s="1"/>
  <c r="H21" i="5" s="1"/>
  <c r="I21" i="5" s="1"/>
  <c r="C22" i="5"/>
  <c r="D22" i="5" s="1"/>
  <c r="E22" i="5"/>
  <c r="H22" i="5" s="1"/>
  <c r="I22" i="5" s="1"/>
  <c r="C23" i="5"/>
  <c r="D23" i="5" s="1"/>
  <c r="C24" i="5"/>
  <c r="E24" i="5"/>
  <c r="H24" i="5" s="1"/>
  <c r="I24" i="5" s="1"/>
  <c r="C25" i="5"/>
  <c r="E25" i="5" s="1"/>
  <c r="H25" i="5" s="1"/>
  <c r="C26" i="5"/>
  <c r="E26" i="5"/>
  <c r="H26" i="5" s="1"/>
  <c r="I26" i="5" s="1"/>
  <c r="D27" i="5"/>
  <c r="D18" i="5"/>
  <c r="D16" i="5"/>
  <c r="D14" i="5"/>
  <c r="D12" i="5"/>
  <c r="D10" i="5"/>
  <c r="D8" i="5"/>
  <c r="D5" i="5"/>
  <c r="D20" i="5"/>
  <c r="D24" i="5"/>
  <c r="D26" i="5"/>
  <c r="I25" i="5" l="1"/>
  <c r="F39" i="4"/>
  <c r="F54" i="4" s="1"/>
  <c r="F55" i="4" s="1"/>
  <c r="F57" i="4" s="1"/>
  <c r="F58" i="4" s="1"/>
  <c r="F59" i="4" s="1"/>
  <c r="F60" i="4" s="1"/>
  <c r="F61" i="4" s="1"/>
  <c r="EL29" i="4" s="1"/>
  <c r="H6" i="5"/>
  <c r="I6" i="5" s="1"/>
  <c r="F6" i="5"/>
  <c r="D19" i="5"/>
  <c r="D11" i="5"/>
  <c r="D21" i="5"/>
  <c r="D13" i="5"/>
  <c r="D25" i="5"/>
  <c r="E23" i="5"/>
  <c r="H23" i="5" s="1"/>
  <c r="I23" i="5" s="1"/>
  <c r="E15" i="5"/>
  <c r="H15" i="5" s="1"/>
  <c r="I15" i="5" s="1"/>
  <c r="E7" i="5"/>
  <c r="H7" i="5" s="1"/>
  <c r="I7" i="5" s="1"/>
  <c r="D6" i="5"/>
  <c r="D9" i="5"/>
  <c r="D17" i="5"/>
  <c r="N29" i="4" l="1"/>
  <c r="DV29" i="4"/>
  <c r="DN29" i="4"/>
  <c r="HV29" i="4"/>
  <c r="AL29" i="4"/>
  <c r="FJ29" i="4"/>
  <c r="GP29" i="4"/>
  <c r="ID29" i="4"/>
  <c r="F63" i="4"/>
  <c r="CX29" i="4"/>
  <c r="HF29" i="4"/>
  <c r="IT29" i="4"/>
  <c r="BR29" i="4"/>
  <c r="FR29" i="4"/>
  <c r="F62" i="4"/>
  <c r="ID30" i="4" s="1"/>
  <c r="F7" i="5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HN29" i="4"/>
  <c r="F78" i="4"/>
  <c r="F79" i="4" s="1"/>
  <c r="F81" i="4" s="1"/>
  <c r="F82" i="4" s="1"/>
  <c r="F83" i="4" s="1"/>
  <c r="F84" i="4" s="1"/>
  <c r="F85" i="4" s="1"/>
  <c r="F33" i="4" s="1"/>
  <c r="CP29" i="4"/>
  <c r="CH29" i="4"/>
  <c r="GH29" i="4"/>
  <c r="FZ29" i="4"/>
  <c r="F42" i="4"/>
  <c r="F43" i="4" s="1"/>
  <c r="F45" i="4" s="1"/>
  <c r="F46" i="4" s="1"/>
  <c r="F47" i="4" s="1"/>
  <c r="F48" i="4" s="1"/>
  <c r="F49" i="4" s="1"/>
  <c r="F51" i="4" s="1"/>
  <c r="F20" i="4" s="1"/>
  <c r="BJ29" i="4"/>
  <c r="BB29" i="4"/>
  <c r="DF29" i="4"/>
  <c r="GX29" i="4"/>
  <c r="ED29" i="4"/>
  <c r="F66" i="4"/>
  <c r="F67" i="4" s="1"/>
  <c r="F69" i="4" s="1"/>
  <c r="F70" i="4" s="1"/>
  <c r="F71" i="4" s="1"/>
  <c r="F72" i="4" s="1"/>
  <c r="F73" i="4" s="1"/>
  <c r="F74" i="4" s="1"/>
  <c r="F30" i="4" s="1"/>
  <c r="AD29" i="4"/>
  <c r="V29" i="4"/>
  <c r="FB29" i="4"/>
  <c r="ET29" i="4"/>
  <c r="BZ29" i="4"/>
  <c r="IL29" i="4"/>
  <c r="F25" i="4"/>
  <c r="AT29" i="4"/>
  <c r="F75" i="4"/>
  <c r="F28" i="4" s="1"/>
  <c r="BR28" i="4"/>
  <c r="CH28" i="4"/>
  <c r="AL28" i="4"/>
  <c r="V28" i="4"/>
  <c r="ED28" i="4"/>
  <c r="HF28" i="4"/>
  <c r="CX28" i="4"/>
  <c r="ET28" i="4"/>
  <c r="BJ28" i="4"/>
  <c r="DN28" i="4"/>
  <c r="AD28" i="4"/>
  <c r="BB28" i="4"/>
  <c r="DV28" i="4"/>
  <c r="IL28" i="4"/>
  <c r="CP28" i="4"/>
  <c r="FZ28" i="4"/>
  <c r="GH28" i="4"/>
  <c r="FB28" i="4"/>
  <c r="IT28" i="4"/>
  <c r="HN28" i="4"/>
  <c r="GP28" i="4"/>
  <c r="FJ28" i="4"/>
  <c r="F24" i="4"/>
  <c r="HV28" i="4"/>
  <c r="BZ28" i="4"/>
  <c r="GX28" i="4"/>
  <c r="EL28" i="4"/>
  <c r="DF28" i="4"/>
  <c r="AT28" i="4"/>
  <c r="ID28" i="4"/>
  <c r="FR28" i="4"/>
  <c r="N28" i="4"/>
  <c r="DV30" i="4" l="1"/>
  <c r="DF30" i="4"/>
  <c r="F29" i="4"/>
  <c r="ED30" i="4"/>
  <c r="BJ30" i="4"/>
  <c r="F86" i="4"/>
  <c r="F34" i="4" s="1"/>
  <c r="IL30" i="4"/>
  <c r="V30" i="4"/>
  <c r="AD30" i="4"/>
  <c r="AT30" i="4"/>
  <c r="FR30" i="4"/>
  <c r="F87" i="4"/>
  <c r="F32" i="4" s="1"/>
  <c r="CX30" i="4"/>
  <c r="FZ30" i="4"/>
  <c r="BB30" i="4"/>
  <c r="FJ30" i="4"/>
  <c r="HN30" i="4"/>
  <c r="GX30" i="4"/>
  <c r="EL30" i="4"/>
  <c r="F50" i="4"/>
  <c r="F22" i="4" s="1"/>
  <c r="HV30" i="4"/>
  <c r="GH30" i="4"/>
  <c r="DN30" i="4"/>
  <c r="BR30" i="4"/>
  <c r="HF30" i="4"/>
  <c r="N30" i="4"/>
  <c r="ET30" i="4"/>
  <c r="BZ30" i="4"/>
  <c r="AL30" i="4"/>
  <c r="IT30" i="4"/>
  <c r="CH30" i="4"/>
  <c r="CP30" i="4"/>
  <c r="F21" i="4"/>
  <c r="GP30" i="4"/>
  <c r="FB30" i="4"/>
  <c r="F26" i="4"/>
</calcChain>
</file>

<file path=xl/sharedStrings.xml><?xml version="1.0" encoding="utf-8"?>
<sst xmlns="http://schemas.openxmlformats.org/spreadsheetml/2006/main" count="389" uniqueCount="87">
  <si>
    <t>Version:</t>
  </si>
  <si>
    <t>Size</t>
  </si>
  <si>
    <t>Dia</t>
  </si>
  <si>
    <t>Cross Sectional Area</t>
  </si>
  <si>
    <t>Weight</t>
  </si>
  <si>
    <t>Copper</t>
  </si>
  <si>
    <t>Resistance</t>
  </si>
  <si>
    <t>AWG</t>
  </si>
  <si>
    <t>in</t>
  </si>
  <si>
    <t>cir. mils</t>
  </si>
  <si>
    <t xml:space="preserve">sq. in. </t>
  </si>
  <si>
    <t>lb/1000ft</t>
  </si>
  <si>
    <t>Resistivity</t>
  </si>
  <si>
    <t>Ω/1000ft</t>
  </si>
  <si>
    <t>Ω/1000m</t>
  </si>
  <si>
    <t>Ω-ft</t>
  </si>
  <si>
    <t>4/0</t>
  </si>
  <si>
    <t>3/0</t>
  </si>
  <si>
    <t>2/0</t>
  </si>
  <si>
    <t>1/0</t>
  </si>
  <si>
    <t>Step 1</t>
  </si>
  <si>
    <t>Step 2</t>
  </si>
  <si>
    <t>Step 3</t>
  </si>
  <si>
    <t>Pairs</t>
  </si>
  <si>
    <t>Ohms</t>
  </si>
  <si>
    <t>Amps</t>
  </si>
  <si>
    <t>Volts</t>
  </si>
  <si>
    <t>Low end of VoltageTolerance:</t>
  </si>
  <si>
    <t>Low end of Current Tolerance:</t>
  </si>
  <si>
    <t>Total Loop Resistance:</t>
  </si>
  <si>
    <t>VA Limited Current:</t>
  </si>
  <si>
    <t>Actual Max Current:</t>
  </si>
  <si>
    <t>Voltage Drop in Wire at Actual Max Current:</t>
  </si>
  <si>
    <t>Theoretical Max Stable Current:</t>
  </si>
  <si>
    <t>Converter Effeciency:</t>
  </si>
  <si>
    <t>Upstream</t>
  </si>
  <si>
    <t>Downstream</t>
  </si>
  <si>
    <t>Projected Converter Performance Parameters</t>
  </si>
  <si>
    <t>Low end of input current limit circuit:</t>
  </si>
  <si>
    <t>How many Watts are needed at 48Volts in the remote cabinet?</t>
  </si>
  <si>
    <t>Results (of Calculations) or options for configuring the remote powering network</t>
  </si>
  <si>
    <t>Option 1</t>
  </si>
  <si>
    <t>Option 2</t>
  </si>
  <si>
    <t>Option 3</t>
  </si>
  <si>
    <t>Option 4</t>
  </si>
  <si>
    <t>Supporting Intermediate Results for each Option:</t>
  </si>
  <si>
    <t xml:space="preserve">Wire Conductivity </t>
  </si>
  <si>
    <t>Voltage available at remote end at Maximum Current:</t>
  </si>
  <si>
    <t>Number of Converter Cards Required:</t>
  </si>
  <si>
    <t>The number of channels needed at two pairs per channel is:</t>
  </si>
  <si>
    <t>Cards</t>
  </si>
  <si>
    <t xml:space="preserve">   Pairs</t>
  </si>
  <si>
    <t xml:space="preserve">   Channels</t>
  </si>
  <si>
    <t xml:space="preserve">   Cards</t>
  </si>
  <si>
    <t>Number of Pairs Required:</t>
  </si>
  <si>
    <t>If two pairs are used for each 100VA channel, the number of pairs needed is:</t>
  </si>
  <si>
    <t>Maximum power available at the remote end per circuit:</t>
  </si>
  <si>
    <t xml:space="preserve">     Watts</t>
  </si>
  <si>
    <t xml:space="preserve">     Gage</t>
  </si>
  <si>
    <t>User entered data (Tab key toggles cursor between orange boxes)</t>
  </si>
  <si>
    <t>Nominal Operating Voltage (+/-190V)</t>
  </si>
  <si>
    <t>*Check the total loop resistance in your actual network and compare to the Total Loop Resistance in the yellow results section below to make sure performance expectations are met.</t>
  </si>
  <si>
    <t>What wire gage do you use in your network for remote power?*</t>
  </si>
  <si>
    <t>What is the one way distance from the power source to the remote cabinet?*</t>
  </si>
  <si>
    <t>If one pair is used for each 100VA circuit, the number of pairs needed is:</t>
  </si>
  <si>
    <t>If two pairs are used for each 100VA circuit, the number of pairs needed is:</t>
  </si>
  <si>
    <t>If three pairs are used for each 100VA circuit, the number of pairs needed is:</t>
  </si>
  <si>
    <t>If four pairs are used for each 100VA circuit, the number of pairs needed is:</t>
  </si>
  <si>
    <t>The number of circuits needed at one pair per circuit is:</t>
  </si>
  <si>
    <t>The number of circuits needed at two pairs per circuit is:</t>
  </si>
  <si>
    <t>The number of circuits needed at three pairs per circuit is:</t>
  </si>
  <si>
    <t>The number of circuits needed at four pairs per circuit is:</t>
  </si>
  <si>
    <t xml:space="preserve">   Circuits</t>
  </si>
  <si>
    <t xml:space="preserve">  Pair per circuit</t>
  </si>
  <si>
    <t xml:space="preserve">  Pairs per circuit</t>
  </si>
  <si>
    <t>Deployment based on 1 pair per circuit</t>
  </si>
  <si>
    <t>Deployment based on 2 pairs per circuit</t>
  </si>
  <si>
    <t>Deployment based on 3 pairs per circuit</t>
  </si>
  <si>
    <t>Deployment based on 4 pairs per circuit</t>
  </si>
  <si>
    <t>Number of Circuits Required:</t>
  </si>
  <si>
    <t>Watts/circuit (65W max)</t>
  </si>
  <si>
    <t>Circuits</t>
  </si>
  <si>
    <t>Ohms per thousand feet (1 conductor):</t>
  </si>
  <si>
    <t>Ohms per thousand feet</t>
  </si>
  <si>
    <t xml:space="preserve">     Feet</t>
  </si>
  <si>
    <t>Meters</t>
  </si>
  <si>
    <t>Line Power - Remote Power Reach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</si>
</sst>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0"/>
    <numFmt numFmtId="166" formatCode="0.000E+00"/>
    <numFmt numFmtId="167" formatCode="0.0000E+00"/>
    <numFmt numFmtId="168" formatCode="0.00000"/>
    <numFmt numFmtId="169" formatCode="0.000"/>
    <numFmt numFmtId="170" formatCode="0.000000"/>
  </numFmts>
  <fonts count="14" x14ac:knownFonts="1">
    <font>
      <sz val="11"/>
      <name val="Arial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42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0" xfId="0" applyFont="1"/>
    <xf numFmtId="10" fontId="7" fillId="0" borderId="0" xfId="0" applyNumberFormat="1" applyFont="1"/>
    <xf numFmtId="166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/>
    <xf numFmtId="0" fontId="3" fillId="0" borderId="0" xfId="0" applyFont="1"/>
    <xf numFmtId="0" fontId="9" fillId="0" borderId="0" xfId="0" applyFont="1" applyAlignment="1">
      <alignment horizontal="right"/>
    </xf>
    <xf numFmtId="14" fontId="9" fillId="0" borderId="0" xfId="0" applyNumberFormat="1" applyFont="1"/>
    <xf numFmtId="0" fontId="5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/>
    <xf numFmtId="14" fontId="4" fillId="0" borderId="0" xfId="0" applyNumberFormat="1" applyFont="1"/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6" fillId="0" borderId="0" xfId="0" applyFont="1" applyAlignment="1">
      <alignment horizontal="right"/>
    </xf>
    <xf numFmtId="0" fontId="5" fillId="3" borderId="0" xfId="0" applyFont="1" applyFill="1"/>
    <xf numFmtId="0" fontId="4" fillId="3" borderId="0" xfId="0" applyFont="1" applyFill="1"/>
    <xf numFmtId="0" fontId="0" fillId="3" borderId="0" xfId="0" applyFill="1"/>
    <xf numFmtId="0" fontId="2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right"/>
    </xf>
    <xf numFmtId="2" fontId="4" fillId="4" borderId="0" xfId="0" applyNumberFormat="1" applyFont="1" applyFill="1"/>
    <xf numFmtId="0" fontId="0" fillId="5" borderId="0" xfId="0" applyFill="1"/>
    <xf numFmtId="0" fontId="2" fillId="2" borderId="0" xfId="0" applyFont="1" applyFill="1" applyProtection="1">
      <protection locked="0"/>
    </xf>
    <xf numFmtId="0" fontId="6" fillId="0" borderId="0" xfId="0" applyFont="1"/>
    <xf numFmtId="0" fontId="2" fillId="0" borderId="0" xfId="0" applyFont="1"/>
    <xf numFmtId="0" fontId="5" fillId="5" borderId="0" xfId="0" applyFont="1" applyFill="1"/>
    <xf numFmtId="0" fontId="4" fillId="5" borderId="0" xfId="0" applyFont="1" applyFill="1"/>
    <xf numFmtId="0" fontId="6" fillId="5" borderId="0" xfId="0" applyFont="1" applyFill="1" applyAlignment="1">
      <alignment horizontal="left"/>
    </xf>
    <xf numFmtId="0" fontId="2" fillId="5" borderId="0" xfId="0" applyFont="1" applyFill="1"/>
    <xf numFmtId="0" fontId="11" fillId="5" borderId="0" xfId="0" applyFont="1" applyFill="1"/>
    <xf numFmtId="0" fontId="12" fillId="5" borderId="0" xfId="0" applyFont="1" applyFill="1"/>
    <xf numFmtId="0" fontId="12" fillId="5" borderId="0" xfId="0" applyFont="1" applyFill="1" applyAlignment="1">
      <alignment horizontal="right"/>
    </xf>
    <xf numFmtId="2" fontId="12" fillId="5" borderId="0" xfId="0" applyNumberFormat="1" applyFont="1" applyFill="1"/>
    <xf numFmtId="0" fontId="2" fillId="0" borderId="0" xfId="0" applyFont="1" applyAlignment="1">
      <alignment horizontal="left"/>
    </xf>
    <xf numFmtId="0" fontId="2" fillId="3" borderId="0" xfId="0" applyFont="1" applyFill="1"/>
    <xf numFmtId="0" fontId="6" fillId="0" borderId="0" xfId="0" applyFont="1" applyAlignment="1">
      <alignment horizontal="left"/>
    </xf>
    <xf numFmtId="0" fontId="6" fillId="2" borderId="0" xfId="0" applyFont="1" applyFill="1" applyProtection="1">
      <protection locked="0"/>
    </xf>
    <xf numFmtId="3" fontId="13" fillId="0" borderId="0" xfId="0" applyNumberFormat="1" applyFont="1"/>
    <xf numFmtId="0" fontId="13" fillId="0" borderId="0" xfId="0" quotePrefix="1" applyFont="1"/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0</xdr:col>
      <xdr:colOff>838200</xdr:colOff>
      <xdr:row>36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81800"/>
          <a:ext cx="83820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578771</xdr:colOff>
      <xdr:row>0</xdr:row>
      <xdr:rowOff>95713</xdr:rowOff>
    </xdr:from>
    <xdr:to>
      <xdr:col>8</xdr:col>
      <xdr:colOff>0</xdr:colOff>
      <xdr:row>2</xdr:row>
      <xdr:rowOff>72561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A301776-A3EC-BE96-1196-2DBF5DBF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16171" y="95713"/>
          <a:ext cx="1161129" cy="383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wr64318/Local%20Settings/Temporary%20Internet%20Files/OLK79/Wire%20siz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L 310 Ampacity"/>
      <sheetName val="Size &amp; Weight"/>
      <sheetName val="Sheet3"/>
    </sheetNames>
    <sheetDataSet>
      <sheetData sheetId="0">
        <row r="5">
          <cell r="E5">
            <v>75</v>
          </cell>
        </row>
        <row r="6">
          <cell r="E6">
            <v>45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07"/>
  <sheetViews>
    <sheetView showGridLines="0" tabSelected="1" showOutlineSymbols="0" zoomScale="75" workbookViewId="0">
      <selection activeCell="F11" sqref="F11"/>
    </sheetView>
  </sheetViews>
  <sheetFormatPr defaultColWidth="0" defaultRowHeight="14" zeroHeight="1" x14ac:dyDescent="0.3"/>
  <cols>
    <col min="1" max="1" width="11.25" customWidth="1"/>
    <col min="2" max="2" width="27.08203125" customWidth="1"/>
    <col min="3" max="3" width="14.75" customWidth="1"/>
    <col min="4" max="4" width="12.83203125" customWidth="1"/>
    <col min="5" max="5" width="17.58203125" customWidth="1"/>
    <col min="6" max="6" width="9.75" customWidth="1"/>
    <col min="7" max="7" width="9.5" customWidth="1"/>
    <col min="8" max="8" width="13.25" customWidth="1"/>
    <col min="9" max="16384" width="9" hidden="1"/>
  </cols>
  <sheetData>
    <row r="1" spans="1:8" ht="18" x14ac:dyDescent="0.4">
      <c r="A1" s="22" t="s">
        <v>86</v>
      </c>
      <c r="E1" s="23" t="s">
        <v>0</v>
      </c>
      <c r="F1" s="24">
        <v>40149</v>
      </c>
    </row>
    <row r="2" spans="1:8" x14ac:dyDescent="0.3">
      <c r="A2" s="25" t="s">
        <v>60</v>
      </c>
      <c r="E2" s="26"/>
      <c r="F2" s="26"/>
      <c r="G2" s="26"/>
      <c r="H2" s="26"/>
    </row>
    <row r="3" spans="1:8" x14ac:dyDescent="0.3">
      <c r="A3" s="25"/>
      <c r="C3" s="26"/>
      <c r="D3" s="26"/>
      <c r="E3" s="26"/>
      <c r="F3" s="26"/>
      <c r="G3" s="26"/>
      <c r="H3" s="26"/>
    </row>
    <row r="4" spans="1:8" ht="14.5" x14ac:dyDescent="0.35">
      <c r="A4" s="27" t="s">
        <v>37</v>
      </c>
      <c r="B4" s="28"/>
      <c r="C4" s="59" t="s">
        <v>35</v>
      </c>
      <c r="D4" s="28"/>
      <c r="E4" s="23" t="s">
        <v>27</v>
      </c>
      <c r="F4" s="27">
        <v>378</v>
      </c>
      <c r="G4" s="27" t="s">
        <v>26</v>
      </c>
      <c r="H4" s="26"/>
    </row>
    <row r="5" spans="1:8" ht="14.5" x14ac:dyDescent="0.35">
      <c r="A5" s="27"/>
      <c r="B5" s="28"/>
      <c r="C5" s="59"/>
      <c r="D5" s="28"/>
      <c r="E5" s="23" t="s">
        <v>28</v>
      </c>
      <c r="F5" s="27">
        <v>0.252</v>
      </c>
      <c r="G5" s="27" t="s">
        <v>25</v>
      </c>
      <c r="H5" s="26"/>
    </row>
    <row r="6" spans="1:8" ht="14.5" x14ac:dyDescent="0.35">
      <c r="A6" s="27"/>
      <c r="B6" s="28"/>
      <c r="C6" s="59" t="s">
        <v>36</v>
      </c>
      <c r="E6" s="23" t="s">
        <v>38</v>
      </c>
      <c r="F6" s="28">
        <f>0.233</f>
        <v>0.23300000000000001</v>
      </c>
      <c r="G6" s="27" t="s">
        <v>25</v>
      </c>
      <c r="H6" s="26"/>
    </row>
    <row r="7" spans="1:8" ht="14.5" x14ac:dyDescent="0.35">
      <c r="A7" s="27"/>
      <c r="B7" s="28"/>
      <c r="C7" s="59"/>
      <c r="D7" s="28"/>
      <c r="E7" s="23" t="s">
        <v>34</v>
      </c>
      <c r="F7" s="27">
        <v>0.84</v>
      </c>
      <c r="G7" s="27"/>
      <c r="H7" s="26"/>
    </row>
    <row r="8" spans="1:8" x14ac:dyDescent="0.3">
      <c r="C8" s="29"/>
      <c r="D8" s="26"/>
      <c r="E8" s="26"/>
      <c r="F8" s="26"/>
      <c r="G8" s="26"/>
      <c r="H8" s="29"/>
    </row>
    <row r="9" spans="1:8" x14ac:dyDescent="0.3">
      <c r="A9" s="30" t="s">
        <v>59</v>
      </c>
      <c r="B9" s="31"/>
      <c r="C9" s="32"/>
      <c r="D9" s="32"/>
      <c r="E9" s="32"/>
      <c r="F9" s="32"/>
      <c r="G9" s="32"/>
      <c r="H9" s="32"/>
    </row>
    <row r="10" spans="1:8" x14ac:dyDescent="0.3">
      <c r="A10" s="26"/>
      <c r="B10" s="26"/>
      <c r="C10" s="26"/>
      <c r="D10" s="26"/>
      <c r="E10" s="26"/>
      <c r="F10" s="26"/>
      <c r="G10" s="26"/>
      <c r="H10" s="25"/>
    </row>
    <row r="11" spans="1:8" x14ac:dyDescent="0.3">
      <c r="A11" s="25" t="s">
        <v>20</v>
      </c>
      <c r="B11" s="43" t="s">
        <v>39</v>
      </c>
      <c r="C11" s="26"/>
      <c r="D11" s="26"/>
      <c r="E11" s="26"/>
      <c r="F11" s="56">
        <v>48</v>
      </c>
      <c r="G11" s="55" t="s">
        <v>57</v>
      </c>
      <c r="H11" s="25"/>
    </row>
    <row r="12" spans="1:8" x14ac:dyDescent="0.3">
      <c r="A12" s="25"/>
      <c r="B12" s="43"/>
      <c r="C12" s="26"/>
      <c r="D12" s="26"/>
      <c r="E12" s="26"/>
      <c r="F12" s="26"/>
      <c r="G12" s="33"/>
      <c r="H12" s="25"/>
    </row>
    <row r="13" spans="1:8" x14ac:dyDescent="0.3">
      <c r="A13" s="25" t="s">
        <v>21</v>
      </c>
      <c r="B13" s="25" t="s">
        <v>62</v>
      </c>
      <c r="C13" s="26"/>
      <c r="E13" s="26"/>
      <c r="F13" s="42">
        <v>24</v>
      </c>
      <c r="G13" s="55" t="s">
        <v>58</v>
      </c>
      <c r="H13" s="25"/>
    </row>
    <row r="14" spans="1:8" x14ac:dyDescent="0.3"/>
    <row r="15" spans="1:8" x14ac:dyDescent="0.3">
      <c r="A15" s="25" t="s">
        <v>22</v>
      </c>
      <c r="B15" s="25" t="s">
        <v>63</v>
      </c>
      <c r="C15" s="25"/>
      <c r="D15" s="25"/>
      <c r="E15" s="25"/>
      <c r="F15" s="42">
        <v>10000</v>
      </c>
      <c r="G15" s="55" t="s">
        <v>84</v>
      </c>
      <c r="H15" s="26"/>
    </row>
    <row r="16" spans="1:8" x14ac:dyDescent="0.3">
      <c r="A16" s="60" t="s">
        <v>61</v>
      </c>
      <c r="B16" s="60"/>
      <c r="C16" s="60"/>
      <c r="D16" s="60"/>
      <c r="E16" s="60"/>
      <c r="F16" s="26"/>
      <c r="G16" s="57">
        <f>one_way_distance/3.2808399</f>
        <v>3047.9999953670399</v>
      </c>
      <c r="H16" s="58" t="s">
        <v>85</v>
      </c>
    </row>
    <row r="17" spans="1:255" x14ac:dyDescent="0.3">
      <c r="A17" s="60"/>
      <c r="B17" s="60"/>
      <c r="C17" s="60"/>
      <c r="D17" s="60"/>
      <c r="E17" s="60"/>
    </row>
    <row r="18" spans="1:255" s="36" customFormat="1" x14ac:dyDescent="0.3">
      <c r="A18" s="34" t="s">
        <v>40</v>
      </c>
      <c r="B18" s="35"/>
      <c r="C18" s="35"/>
      <c r="D18" s="35"/>
      <c r="E18" s="35"/>
      <c r="F18" s="35"/>
      <c r="G18" s="35"/>
      <c r="H18" s="35"/>
    </row>
    <row r="19" spans="1:255" x14ac:dyDescent="0.3"/>
    <row r="20" spans="1:255" x14ac:dyDescent="0.3">
      <c r="A20" s="25" t="s">
        <v>41</v>
      </c>
      <c r="B20" s="44" t="s">
        <v>64</v>
      </c>
      <c r="F20" s="54">
        <f>number_of_pairs_required_1</f>
        <v>1</v>
      </c>
      <c r="G20" s="53" t="s">
        <v>51</v>
      </c>
    </row>
    <row r="21" spans="1:255" x14ac:dyDescent="0.3">
      <c r="A21" s="25"/>
      <c r="B21" s="44"/>
      <c r="E21" s="33" t="s">
        <v>68</v>
      </c>
      <c r="F21" s="54">
        <f>channels_required_1_pair</f>
        <v>1</v>
      </c>
      <c r="G21" s="53" t="s">
        <v>72</v>
      </c>
    </row>
    <row r="22" spans="1:255" x14ac:dyDescent="0.3">
      <c r="A22" s="25"/>
      <c r="B22" s="44"/>
      <c r="E22" s="33" t="s">
        <v>48</v>
      </c>
      <c r="F22" s="54">
        <f>number_of_cards_required_1_pair</f>
        <v>1</v>
      </c>
      <c r="G22" s="53" t="s">
        <v>53</v>
      </c>
    </row>
    <row r="23" spans="1:255" x14ac:dyDescent="0.3">
      <c r="A23" s="25"/>
      <c r="B23" s="44"/>
      <c r="E23" s="33"/>
    </row>
    <row r="24" spans="1:255" x14ac:dyDescent="0.3">
      <c r="A24" s="25" t="s">
        <v>42</v>
      </c>
      <c r="B24" s="44" t="s">
        <v>65</v>
      </c>
      <c r="F24" s="54">
        <f>number_of_pairs_required_2</f>
        <v>2</v>
      </c>
      <c r="G24" s="53" t="s">
        <v>51</v>
      </c>
    </row>
    <row r="25" spans="1:255" x14ac:dyDescent="0.3">
      <c r="A25" s="25"/>
      <c r="B25" s="44"/>
      <c r="E25" s="33" t="s">
        <v>69</v>
      </c>
      <c r="F25" s="54">
        <f>channels_required_2_pair</f>
        <v>1</v>
      </c>
      <c r="G25" s="53" t="s">
        <v>72</v>
      </c>
    </row>
    <row r="26" spans="1:255" x14ac:dyDescent="0.3">
      <c r="A26" s="25"/>
      <c r="B26" s="44"/>
      <c r="E26" s="33" t="s">
        <v>48</v>
      </c>
      <c r="F26" s="54">
        <f>number_of_cards_required_2_pair</f>
        <v>1</v>
      </c>
      <c r="G26" s="53" t="s">
        <v>53</v>
      </c>
    </row>
    <row r="27" spans="1:255" x14ac:dyDescent="0.3">
      <c r="A27" s="25"/>
      <c r="B27" s="26"/>
      <c r="C27" s="26"/>
      <c r="D27" s="26"/>
      <c r="E27" s="33"/>
      <c r="F27" s="26"/>
      <c r="G27" s="26"/>
      <c r="H27" s="26"/>
    </row>
    <row r="28" spans="1:255" x14ac:dyDescent="0.3">
      <c r="A28" s="25" t="s">
        <v>43</v>
      </c>
      <c r="B28" s="44" t="s">
        <v>66</v>
      </c>
      <c r="F28" s="54">
        <f>number_of_pairs_required_3</f>
        <v>3</v>
      </c>
      <c r="G28" s="53" t="s">
        <v>51</v>
      </c>
      <c r="I28" s="25" t="s">
        <v>42</v>
      </c>
      <c r="J28" s="44" t="s">
        <v>55</v>
      </c>
      <c r="N28" s="54">
        <f>number_of_pairs_required_2</f>
        <v>2</v>
      </c>
      <c r="O28" s="53" t="s">
        <v>51</v>
      </c>
      <c r="Q28" s="25" t="s">
        <v>42</v>
      </c>
      <c r="R28" s="44" t="s">
        <v>55</v>
      </c>
      <c r="V28" s="54">
        <f>number_of_pairs_required_2</f>
        <v>2</v>
      </c>
      <c r="W28" s="53" t="s">
        <v>51</v>
      </c>
      <c r="Y28" s="25" t="s">
        <v>42</v>
      </c>
      <c r="Z28" s="44" t="s">
        <v>55</v>
      </c>
      <c r="AD28" s="54">
        <f>number_of_pairs_required_2</f>
        <v>2</v>
      </c>
      <c r="AE28" s="53" t="s">
        <v>51</v>
      </c>
      <c r="AG28" s="25" t="s">
        <v>42</v>
      </c>
      <c r="AH28" s="44" t="s">
        <v>55</v>
      </c>
      <c r="AL28" s="54">
        <f>number_of_pairs_required_2</f>
        <v>2</v>
      </c>
      <c r="AM28" s="53" t="s">
        <v>51</v>
      </c>
      <c r="AO28" s="25" t="s">
        <v>42</v>
      </c>
      <c r="AP28" s="44" t="s">
        <v>55</v>
      </c>
      <c r="AT28" s="54">
        <f>number_of_pairs_required_2</f>
        <v>2</v>
      </c>
      <c r="AU28" s="53" t="s">
        <v>51</v>
      </c>
      <c r="AW28" s="25" t="s">
        <v>42</v>
      </c>
      <c r="AX28" s="44" t="s">
        <v>55</v>
      </c>
      <c r="BB28" s="54">
        <f>number_of_pairs_required_2</f>
        <v>2</v>
      </c>
      <c r="BC28" s="53" t="s">
        <v>51</v>
      </c>
      <c r="BE28" s="25" t="s">
        <v>42</v>
      </c>
      <c r="BF28" s="44" t="s">
        <v>55</v>
      </c>
      <c r="BJ28" s="54">
        <f>number_of_pairs_required_2</f>
        <v>2</v>
      </c>
      <c r="BK28" s="53" t="s">
        <v>51</v>
      </c>
      <c r="BM28" s="25" t="s">
        <v>42</v>
      </c>
      <c r="BN28" s="44" t="s">
        <v>55</v>
      </c>
      <c r="BR28" s="54">
        <f>number_of_pairs_required_2</f>
        <v>2</v>
      </c>
      <c r="BS28" s="53" t="s">
        <v>51</v>
      </c>
      <c r="BU28" s="25" t="s">
        <v>42</v>
      </c>
      <c r="BV28" s="44" t="s">
        <v>55</v>
      </c>
      <c r="BZ28" s="54">
        <f>number_of_pairs_required_2</f>
        <v>2</v>
      </c>
      <c r="CA28" s="53" t="s">
        <v>51</v>
      </c>
      <c r="CC28" s="25" t="s">
        <v>42</v>
      </c>
      <c r="CD28" s="44" t="s">
        <v>55</v>
      </c>
      <c r="CH28" s="54">
        <f>number_of_pairs_required_2</f>
        <v>2</v>
      </c>
      <c r="CI28" s="53" t="s">
        <v>51</v>
      </c>
      <c r="CK28" s="25" t="s">
        <v>42</v>
      </c>
      <c r="CL28" s="44" t="s">
        <v>55</v>
      </c>
      <c r="CP28" s="54">
        <f>number_of_pairs_required_2</f>
        <v>2</v>
      </c>
      <c r="CQ28" s="53" t="s">
        <v>51</v>
      </c>
      <c r="CS28" s="25" t="s">
        <v>42</v>
      </c>
      <c r="CT28" s="44" t="s">
        <v>55</v>
      </c>
      <c r="CX28" s="54">
        <f>number_of_pairs_required_2</f>
        <v>2</v>
      </c>
      <c r="CY28" s="53" t="s">
        <v>51</v>
      </c>
      <c r="DA28" s="25" t="s">
        <v>42</v>
      </c>
      <c r="DB28" s="44" t="s">
        <v>55</v>
      </c>
      <c r="DF28" s="54">
        <f>number_of_pairs_required_2</f>
        <v>2</v>
      </c>
      <c r="DG28" s="53" t="s">
        <v>51</v>
      </c>
      <c r="DI28" s="25" t="s">
        <v>42</v>
      </c>
      <c r="DJ28" s="44" t="s">
        <v>55</v>
      </c>
      <c r="DN28" s="54">
        <f>number_of_pairs_required_2</f>
        <v>2</v>
      </c>
      <c r="DO28" s="53" t="s">
        <v>51</v>
      </c>
      <c r="DQ28" s="25" t="s">
        <v>42</v>
      </c>
      <c r="DR28" s="44" t="s">
        <v>55</v>
      </c>
      <c r="DV28" s="54">
        <f>number_of_pairs_required_2</f>
        <v>2</v>
      </c>
      <c r="DW28" s="53" t="s">
        <v>51</v>
      </c>
      <c r="DY28" s="25" t="s">
        <v>42</v>
      </c>
      <c r="DZ28" s="44" t="s">
        <v>55</v>
      </c>
      <c r="ED28" s="54">
        <f>number_of_pairs_required_2</f>
        <v>2</v>
      </c>
      <c r="EE28" s="53" t="s">
        <v>51</v>
      </c>
      <c r="EG28" s="25" t="s">
        <v>42</v>
      </c>
      <c r="EH28" s="44" t="s">
        <v>55</v>
      </c>
      <c r="EL28" s="54">
        <f>number_of_pairs_required_2</f>
        <v>2</v>
      </c>
      <c r="EM28" s="53" t="s">
        <v>51</v>
      </c>
      <c r="EO28" s="25" t="s">
        <v>42</v>
      </c>
      <c r="EP28" s="44" t="s">
        <v>55</v>
      </c>
      <c r="ET28" s="54">
        <f>number_of_pairs_required_2</f>
        <v>2</v>
      </c>
      <c r="EU28" s="53" t="s">
        <v>51</v>
      </c>
      <c r="EW28" s="25" t="s">
        <v>42</v>
      </c>
      <c r="EX28" s="44" t="s">
        <v>55</v>
      </c>
      <c r="FB28" s="54">
        <f>number_of_pairs_required_2</f>
        <v>2</v>
      </c>
      <c r="FC28" s="53" t="s">
        <v>51</v>
      </c>
      <c r="FE28" s="25" t="s">
        <v>42</v>
      </c>
      <c r="FF28" s="44" t="s">
        <v>55</v>
      </c>
      <c r="FJ28" s="54">
        <f>number_of_pairs_required_2</f>
        <v>2</v>
      </c>
      <c r="FK28" s="53" t="s">
        <v>51</v>
      </c>
      <c r="FM28" s="25" t="s">
        <v>42</v>
      </c>
      <c r="FN28" s="44" t="s">
        <v>55</v>
      </c>
      <c r="FR28" s="54">
        <f>number_of_pairs_required_2</f>
        <v>2</v>
      </c>
      <c r="FS28" s="53" t="s">
        <v>51</v>
      </c>
      <c r="FU28" s="25" t="s">
        <v>42</v>
      </c>
      <c r="FV28" s="44" t="s">
        <v>55</v>
      </c>
      <c r="FZ28" s="54">
        <f>number_of_pairs_required_2</f>
        <v>2</v>
      </c>
      <c r="GA28" s="53" t="s">
        <v>51</v>
      </c>
      <c r="GC28" s="25" t="s">
        <v>42</v>
      </c>
      <c r="GD28" s="44" t="s">
        <v>55</v>
      </c>
      <c r="GH28" s="54">
        <f>number_of_pairs_required_2</f>
        <v>2</v>
      </c>
      <c r="GI28" s="53" t="s">
        <v>51</v>
      </c>
      <c r="GK28" s="25" t="s">
        <v>42</v>
      </c>
      <c r="GL28" s="44" t="s">
        <v>55</v>
      </c>
      <c r="GP28" s="54">
        <f>number_of_pairs_required_2</f>
        <v>2</v>
      </c>
      <c r="GQ28" s="53" t="s">
        <v>51</v>
      </c>
      <c r="GS28" s="25" t="s">
        <v>42</v>
      </c>
      <c r="GT28" s="44" t="s">
        <v>55</v>
      </c>
      <c r="GX28" s="54">
        <f>number_of_pairs_required_2</f>
        <v>2</v>
      </c>
      <c r="GY28" s="53" t="s">
        <v>51</v>
      </c>
      <c r="HA28" s="25" t="s">
        <v>42</v>
      </c>
      <c r="HB28" s="44" t="s">
        <v>55</v>
      </c>
      <c r="HF28" s="54">
        <f>number_of_pairs_required_2</f>
        <v>2</v>
      </c>
      <c r="HG28" s="53" t="s">
        <v>51</v>
      </c>
      <c r="HI28" s="25" t="s">
        <v>42</v>
      </c>
      <c r="HJ28" s="44" t="s">
        <v>55</v>
      </c>
      <c r="HN28" s="54">
        <f>number_of_pairs_required_2</f>
        <v>2</v>
      </c>
      <c r="HO28" s="53" t="s">
        <v>51</v>
      </c>
      <c r="HQ28" s="25" t="s">
        <v>42</v>
      </c>
      <c r="HR28" s="44" t="s">
        <v>55</v>
      </c>
      <c r="HV28" s="54">
        <f>number_of_pairs_required_2</f>
        <v>2</v>
      </c>
      <c r="HW28" s="53" t="s">
        <v>51</v>
      </c>
      <c r="HY28" s="25" t="s">
        <v>42</v>
      </c>
      <c r="HZ28" s="44" t="s">
        <v>55</v>
      </c>
      <c r="ID28" s="54">
        <f>number_of_pairs_required_2</f>
        <v>2</v>
      </c>
      <c r="IE28" s="53" t="s">
        <v>51</v>
      </c>
      <c r="IG28" s="25" t="s">
        <v>42</v>
      </c>
      <c r="IH28" s="44" t="s">
        <v>55</v>
      </c>
      <c r="IL28" s="54">
        <f>number_of_pairs_required_2</f>
        <v>2</v>
      </c>
      <c r="IM28" s="53" t="s">
        <v>51</v>
      </c>
      <c r="IO28" s="25" t="s">
        <v>42</v>
      </c>
      <c r="IP28" s="44" t="s">
        <v>55</v>
      </c>
      <c r="IT28" s="54">
        <f>number_of_pairs_required_2</f>
        <v>2</v>
      </c>
      <c r="IU28" s="53" t="s">
        <v>51</v>
      </c>
    </row>
    <row r="29" spans="1:255" x14ac:dyDescent="0.3">
      <c r="A29" s="25"/>
      <c r="B29" s="44"/>
      <c r="E29" s="33" t="s">
        <v>70</v>
      </c>
      <c r="F29" s="54">
        <f>channels_required_3_pair</f>
        <v>1</v>
      </c>
      <c r="G29" s="53" t="s">
        <v>72</v>
      </c>
      <c r="I29" s="25"/>
      <c r="J29" s="44"/>
      <c r="M29" s="33" t="s">
        <v>49</v>
      </c>
      <c r="N29" s="54">
        <f>channels_required_2_pair</f>
        <v>1</v>
      </c>
      <c r="O29" s="53" t="s">
        <v>52</v>
      </c>
      <c r="Q29" s="25"/>
      <c r="R29" s="44"/>
      <c r="U29" s="33" t="s">
        <v>49</v>
      </c>
      <c r="V29" s="54">
        <f>channels_required_2_pair</f>
        <v>1</v>
      </c>
      <c r="W29" s="53" t="s">
        <v>52</v>
      </c>
      <c r="Y29" s="25"/>
      <c r="Z29" s="44"/>
      <c r="AC29" s="33" t="s">
        <v>49</v>
      </c>
      <c r="AD29" s="54">
        <f>channels_required_2_pair</f>
        <v>1</v>
      </c>
      <c r="AE29" s="53" t="s">
        <v>52</v>
      </c>
      <c r="AG29" s="25"/>
      <c r="AH29" s="44"/>
      <c r="AK29" s="33" t="s">
        <v>49</v>
      </c>
      <c r="AL29" s="54">
        <f>channels_required_2_pair</f>
        <v>1</v>
      </c>
      <c r="AM29" s="53" t="s">
        <v>52</v>
      </c>
      <c r="AO29" s="25"/>
      <c r="AP29" s="44"/>
      <c r="AS29" s="33" t="s">
        <v>49</v>
      </c>
      <c r="AT29" s="54">
        <f>channels_required_2_pair</f>
        <v>1</v>
      </c>
      <c r="AU29" s="53" t="s">
        <v>52</v>
      </c>
      <c r="AW29" s="25"/>
      <c r="AX29" s="44"/>
      <c r="BA29" s="33" t="s">
        <v>49</v>
      </c>
      <c r="BB29" s="54">
        <f>channels_required_2_pair</f>
        <v>1</v>
      </c>
      <c r="BC29" s="53" t="s">
        <v>52</v>
      </c>
      <c r="BE29" s="25"/>
      <c r="BF29" s="44"/>
      <c r="BI29" s="33" t="s">
        <v>49</v>
      </c>
      <c r="BJ29" s="54">
        <f>channels_required_2_pair</f>
        <v>1</v>
      </c>
      <c r="BK29" s="53" t="s">
        <v>52</v>
      </c>
      <c r="BM29" s="25"/>
      <c r="BN29" s="44"/>
      <c r="BQ29" s="33" t="s">
        <v>49</v>
      </c>
      <c r="BR29" s="54">
        <f>channels_required_2_pair</f>
        <v>1</v>
      </c>
      <c r="BS29" s="53" t="s">
        <v>52</v>
      </c>
      <c r="BU29" s="25"/>
      <c r="BV29" s="44"/>
      <c r="BY29" s="33" t="s">
        <v>49</v>
      </c>
      <c r="BZ29" s="54">
        <f>channels_required_2_pair</f>
        <v>1</v>
      </c>
      <c r="CA29" s="53" t="s">
        <v>52</v>
      </c>
      <c r="CC29" s="25"/>
      <c r="CD29" s="44"/>
      <c r="CG29" s="33" t="s">
        <v>49</v>
      </c>
      <c r="CH29" s="54">
        <f>channels_required_2_pair</f>
        <v>1</v>
      </c>
      <c r="CI29" s="53" t="s">
        <v>52</v>
      </c>
      <c r="CK29" s="25"/>
      <c r="CL29" s="44"/>
      <c r="CO29" s="33" t="s">
        <v>49</v>
      </c>
      <c r="CP29" s="54">
        <f>channels_required_2_pair</f>
        <v>1</v>
      </c>
      <c r="CQ29" s="53" t="s">
        <v>52</v>
      </c>
      <c r="CS29" s="25"/>
      <c r="CT29" s="44"/>
      <c r="CW29" s="33" t="s">
        <v>49</v>
      </c>
      <c r="CX29" s="54">
        <f>channels_required_2_pair</f>
        <v>1</v>
      </c>
      <c r="CY29" s="53" t="s">
        <v>52</v>
      </c>
      <c r="DA29" s="25"/>
      <c r="DB29" s="44"/>
      <c r="DE29" s="33" t="s">
        <v>49</v>
      </c>
      <c r="DF29" s="54">
        <f>channels_required_2_pair</f>
        <v>1</v>
      </c>
      <c r="DG29" s="53" t="s">
        <v>52</v>
      </c>
      <c r="DI29" s="25"/>
      <c r="DJ29" s="44"/>
      <c r="DM29" s="33" t="s">
        <v>49</v>
      </c>
      <c r="DN29" s="54">
        <f>channels_required_2_pair</f>
        <v>1</v>
      </c>
      <c r="DO29" s="53" t="s">
        <v>52</v>
      </c>
      <c r="DQ29" s="25"/>
      <c r="DR29" s="44"/>
      <c r="DU29" s="33" t="s">
        <v>49</v>
      </c>
      <c r="DV29" s="54">
        <f>channels_required_2_pair</f>
        <v>1</v>
      </c>
      <c r="DW29" s="53" t="s">
        <v>52</v>
      </c>
      <c r="DY29" s="25"/>
      <c r="DZ29" s="44"/>
      <c r="EC29" s="33" t="s">
        <v>49</v>
      </c>
      <c r="ED29" s="54">
        <f>channels_required_2_pair</f>
        <v>1</v>
      </c>
      <c r="EE29" s="53" t="s">
        <v>52</v>
      </c>
      <c r="EG29" s="25"/>
      <c r="EH29" s="44"/>
      <c r="EK29" s="33" t="s">
        <v>49</v>
      </c>
      <c r="EL29" s="54">
        <f>channels_required_2_pair</f>
        <v>1</v>
      </c>
      <c r="EM29" s="53" t="s">
        <v>52</v>
      </c>
      <c r="EO29" s="25"/>
      <c r="EP29" s="44"/>
      <c r="ES29" s="33" t="s">
        <v>49</v>
      </c>
      <c r="ET29" s="54">
        <f>channels_required_2_pair</f>
        <v>1</v>
      </c>
      <c r="EU29" s="53" t="s">
        <v>52</v>
      </c>
      <c r="EW29" s="25"/>
      <c r="EX29" s="44"/>
      <c r="FA29" s="33" t="s">
        <v>49</v>
      </c>
      <c r="FB29" s="54">
        <f>channels_required_2_pair</f>
        <v>1</v>
      </c>
      <c r="FC29" s="53" t="s">
        <v>52</v>
      </c>
      <c r="FE29" s="25"/>
      <c r="FF29" s="44"/>
      <c r="FI29" s="33" t="s">
        <v>49</v>
      </c>
      <c r="FJ29" s="54">
        <f>channels_required_2_pair</f>
        <v>1</v>
      </c>
      <c r="FK29" s="53" t="s">
        <v>52</v>
      </c>
      <c r="FM29" s="25"/>
      <c r="FN29" s="44"/>
      <c r="FQ29" s="33" t="s">
        <v>49</v>
      </c>
      <c r="FR29" s="54">
        <f>channels_required_2_pair</f>
        <v>1</v>
      </c>
      <c r="FS29" s="53" t="s">
        <v>52</v>
      </c>
      <c r="FU29" s="25"/>
      <c r="FV29" s="44"/>
      <c r="FY29" s="33" t="s">
        <v>49</v>
      </c>
      <c r="FZ29" s="54">
        <f>channels_required_2_pair</f>
        <v>1</v>
      </c>
      <c r="GA29" s="53" t="s">
        <v>52</v>
      </c>
      <c r="GC29" s="25"/>
      <c r="GD29" s="44"/>
      <c r="GG29" s="33" t="s">
        <v>49</v>
      </c>
      <c r="GH29" s="54">
        <f>channels_required_2_pair</f>
        <v>1</v>
      </c>
      <c r="GI29" s="53" t="s">
        <v>52</v>
      </c>
      <c r="GK29" s="25"/>
      <c r="GL29" s="44"/>
      <c r="GO29" s="33" t="s">
        <v>49</v>
      </c>
      <c r="GP29" s="54">
        <f>channels_required_2_pair</f>
        <v>1</v>
      </c>
      <c r="GQ29" s="53" t="s">
        <v>52</v>
      </c>
      <c r="GS29" s="25"/>
      <c r="GT29" s="44"/>
      <c r="GW29" s="33" t="s">
        <v>49</v>
      </c>
      <c r="GX29" s="54">
        <f>channels_required_2_pair</f>
        <v>1</v>
      </c>
      <c r="GY29" s="53" t="s">
        <v>52</v>
      </c>
      <c r="HA29" s="25"/>
      <c r="HB29" s="44"/>
      <c r="HE29" s="33" t="s">
        <v>49</v>
      </c>
      <c r="HF29" s="54">
        <f>channels_required_2_pair</f>
        <v>1</v>
      </c>
      <c r="HG29" s="53" t="s">
        <v>52</v>
      </c>
      <c r="HI29" s="25"/>
      <c r="HJ29" s="44"/>
      <c r="HM29" s="33" t="s">
        <v>49</v>
      </c>
      <c r="HN29" s="54">
        <f>channels_required_2_pair</f>
        <v>1</v>
      </c>
      <c r="HO29" s="53" t="s">
        <v>52</v>
      </c>
      <c r="HQ29" s="25"/>
      <c r="HR29" s="44"/>
      <c r="HU29" s="33" t="s">
        <v>49</v>
      </c>
      <c r="HV29" s="54">
        <f>channels_required_2_pair</f>
        <v>1</v>
      </c>
      <c r="HW29" s="53" t="s">
        <v>52</v>
      </c>
      <c r="HY29" s="25"/>
      <c r="HZ29" s="44"/>
      <c r="IC29" s="33" t="s">
        <v>49</v>
      </c>
      <c r="ID29" s="54">
        <f>channels_required_2_pair</f>
        <v>1</v>
      </c>
      <c r="IE29" s="53" t="s">
        <v>52</v>
      </c>
      <c r="IG29" s="25"/>
      <c r="IH29" s="44"/>
      <c r="IK29" s="33" t="s">
        <v>49</v>
      </c>
      <c r="IL29" s="54">
        <f>channels_required_2_pair</f>
        <v>1</v>
      </c>
      <c r="IM29" s="53" t="s">
        <v>52</v>
      </c>
      <c r="IO29" s="25"/>
      <c r="IP29" s="44"/>
      <c r="IS29" s="33" t="s">
        <v>49</v>
      </c>
      <c r="IT29" s="54">
        <f>channels_required_2_pair</f>
        <v>1</v>
      </c>
      <c r="IU29" s="53" t="s">
        <v>52</v>
      </c>
    </row>
    <row r="30" spans="1:255" x14ac:dyDescent="0.3">
      <c r="A30" s="25"/>
      <c r="B30" s="44"/>
      <c r="E30" s="33" t="s">
        <v>48</v>
      </c>
      <c r="F30" s="54">
        <f>number_of_cards_required_3_pair</f>
        <v>1</v>
      </c>
      <c r="G30" s="53" t="s">
        <v>53</v>
      </c>
      <c r="I30" s="25"/>
      <c r="J30" s="44"/>
      <c r="M30" s="33" t="s">
        <v>48</v>
      </c>
      <c r="N30" s="54">
        <f>number_of_cards_required_2_pair</f>
        <v>1</v>
      </c>
      <c r="O30" s="53" t="s">
        <v>53</v>
      </c>
      <c r="Q30" s="25"/>
      <c r="R30" s="44"/>
      <c r="U30" s="33" t="s">
        <v>48</v>
      </c>
      <c r="V30" s="54">
        <f>number_of_cards_required_2_pair</f>
        <v>1</v>
      </c>
      <c r="W30" s="53" t="s">
        <v>53</v>
      </c>
      <c r="Y30" s="25"/>
      <c r="Z30" s="44"/>
      <c r="AC30" s="33" t="s">
        <v>48</v>
      </c>
      <c r="AD30" s="54">
        <f>number_of_cards_required_2_pair</f>
        <v>1</v>
      </c>
      <c r="AE30" s="53" t="s">
        <v>53</v>
      </c>
      <c r="AG30" s="25"/>
      <c r="AH30" s="44"/>
      <c r="AK30" s="33" t="s">
        <v>48</v>
      </c>
      <c r="AL30" s="54">
        <f>number_of_cards_required_2_pair</f>
        <v>1</v>
      </c>
      <c r="AM30" s="53" t="s">
        <v>53</v>
      </c>
      <c r="AO30" s="25"/>
      <c r="AP30" s="44"/>
      <c r="AS30" s="33" t="s">
        <v>48</v>
      </c>
      <c r="AT30" s="54">
        <f>number_of_cards_required_2_pair</f>
        <v>1</v>
      </c>
      <c r="AU30" s="53" t="s">
        <v>53</v>
      </c>
      <c r="AW30" s="25"/>
      <c r="AX30" s="44"/>
      <c r="BA30" s="33" t="s">
        <v>48</v>
      </c>
      <c r="BB30" s="54">
        <f>number_of_cards_required_2_pair</f>
        <v>1</v>
      </c>
      <c r="BC30" s="53" t="s">
        <v>53</v>
      </c>
      <c r="BE30" s="25"/>
      <c r="BF30" s="44"/>
      <c r="BI30" s="33" t="s">
        <v>48</v>
      </c>
      <c r="BJ30" s="54">
        <f>number_of_cards_required_2_pair</f>
        <v>1</v>
      </c>
      <c r="BK30" s="53" t="s">
        <v>53</v>
      </c>
      <c r="BM30" s="25"/>
      <c r="BN30" s="44"/>
      <c r="BQ30" s="33" t="s">
        <v>48</v>
      </c>
      <c r="BR30" s="54">
        <f>number_of_cards_required_2_pair</f>
        <v>1</v>
      </c>
      <c r="BS30" s="53" t="s">
        <v>53</v>
      </c>
      <c r="BU30" s="25"/>
      <c r="BV30" s="44"/>
      <c r="BY30" s="33" t="s">
        <v>48</v>
      </c>
      <c r="BZ30" s="54">
        <f>number_of_cards_required_2_pair</f>
        <v>1</v>
      </c>
      <c r="CA30" s="53" t="s">
        <v>53</v>
      </c>
      <c r="CC30" s="25"/>
      <c r="CD30" s="44"/>
      <c r="CG30" s="33" t="s">
        <v>48</v>
      </c>
      <c r="CH30" s="54">
        <f>number_of_cards_required_2_pair</f>
        <v>1</v>
      </c>
      <c r="CI30" s="53" t="s">
        <v>53</v>
      </c>
      <c r="CK30" s="25"/>
      <c r="CL30" s="44"/>
      <c r="CO30" s="33" t="s">
        <v>48</v>
      </c>
      <c r="CP30" s="54">
        <f>number_of_cards_required_2_pair</f>
        <v>1</v>
      </c>
      <c r="CQ30" s="53" t="s">
        <v>53</v>
      </c>
      <c r="CS30" s="25"/>
      <c r="CT30" s="44"/>
      <c r="CW30" s="33" t="s">
        <v>48</v>
      </c>
      <c r="CX30" s="54">
        <f>number_of_cards_required_2_pair</f>
        <v>1</v>
      </c>
      <c r="CY30" s="53" t="s">
        <v>53</v>
      </c>
      <c r="DA30" s="25"/>
      <c r="DB30" s="44"/>
      <c r="DE30" s="33" t="s">
        <v>48</v>
      </c>
      <c r="DF30" s="54">
        <f>number_of_cards_required_2_pair</f>
        <v>1</v>
      </c>
      <c r="DG30" s="53" t="s">
        <v>53</v>
      </c>
      <c r="DI30" s="25"/>
      <c r="DJ30" s="44"/>
      <c r="DM30" s="33" t="s">
        <v>48</v>
      </c>
      <c r="DN30" s="54">
        <f>number_of_cards_required_2_pair</f>
        <v>1</v>
      </c>
      <c r="DO30" s="53" t="s">
        <v>53</v>
      </c>
      <c r="DQ30" s="25"/>
      <c r="DR30" s="44"/>
      <c r="DU30" s="33" t="s">
        <v>48</v>
      </c>
      <c r="DV30" s="54">
        <f>number_of_cards_required_2_pair</f>
        <v>1</v>
      </c>
      <c r="DW30" s="53" t="s">
        <v>53</v>
      </c>
      <c r="DY30" s="25"/>
      <c r="DZ30" s="44"/>
      <c r="EC30" s="33" t="s">
        <v>48</v>
      </c>
      <c r="ED30" s="54">
        <f>number_of_cards_required_2_pair</f>
        <v>1</v>
      </c>
      <c r="EE30" s="53" t="s">
        <v>53</v>
      </c>
      <c r="EG30" s="25"/>
      <c r="EH30" s="44"/>
      <c r="EK30" s="33" t="s">
        <v>48</v>
      </c>
      <c r="EL30" s="54">
        <f>number_of_cards_required_2_pair</f>
        <v>1</v>
      </c>
      <c r="EM30" s="53" t="s">
        <v>53</v>
      </c>
      <c r="EO30" s="25"/>
      <c r="EP30" s="44"/>
      <c r="ES30" s="33" t="s">
        <v>48</v>
      </c>
      <c r="ET30" s="54">
        <f>number_of_cards_required_2_pair</f>
        <v>1</v>
      </c>
      <c r="EU30" s="53" t="s">
        <v>53</v>
      </c>
      <c r="EW30" s="25"/>
      <c r="EX30" s="44"/>
      <c r="FA30" s="33" t="s">
        <v>48</v>
      </c>
      <c r="FB30" s="54">
        <f>number_of_cards_required_2_pair</f>
        <v>1</v>
      </c>
      <c r="FC30" s="53" t="s">
        <v>53</v>
      </c>
      <c r="FE30" s="25"/>
      <c r="FF30" s="44"/>
      <c r="FI30" s="33" t="s">
        <v>48</v>
      </c>
      <c r="FJ30" s="54">
        <f>number_of_cards_required_2_pair</f>
        <v>1</v>
      </c>
      <c r="FK30" s="53" t="s">
        <v>53</v>
      </c>
      <c r="FM30" s="25"/>
      <c r="FN30" s="44"/>
      <c r="FQ30" s="33" t="s">
        <v>48</v>
      </c>
      <c r="FR30" s="54">
        <f>number_of_cards_required_2_pair</f>
        <v>1</v>
      </c>
      <c r="FS30" s="53" t="s">
        <v>53</v>
      </c>
      <c r="FU30" s="25"/>
      <c r="FV30" s="44"/>
      <c r="FY30" s="33" t="s">
        <v>48</v>
      </c>
      <c r="FZ30" s="54">
        <f>number_of_cards_required_2_pair</f>
        <v>1</v>
      </c>
      <c r="GA30" s="53" t="s">
        <v>53</v>
      </c>
      <c r="GC30" s="25"/>
      <c r="GD30" s="44"/>
      <c r="GG30" s="33" t="s">
        <v>48</v>
      </c>
      <c r="GH30" s="54">
        <f>number_of_cards_required_2_pair</f>
        <v>1</v>
      </c>
      <c r="GI30" s="53" t="s">
        <v>53</v>
      </c>
      <c r="GK30" s="25"/>
      <c r="GL30" s="44"/>
      <c r="GO30" s="33" t="s">
        <v>48</v>
      </c>
      <c r="GP30" s="54">
        <f>number_of_cards_required_2_pair</f>
        <v>1</v>
      </c>
      <c r="GQ30" s="53" t="s">
        <v>53</v>
      </c>
      <c r="GS30" s="25"/>
      <c r="GT30" s="44"/>
      <c r="GW30" s="33" t="s">
        <v>48</v>
      </c>
      <c r="GX30" s="54">
        <f>number_of_cards_required_2_pair</f>
        <v>1</v>
      </c>
      <c r="GY30" s="53" t="s">
        <v>53</v>
      </c>
      <c r="HA30" s="25"/>
      <c r="HB30" s="44"/>
      <c r="HE30" s="33" t="s">
        <v>48</v>
      </c>
      <c r="HF30" s="54">
        <f>number_of_cards_required_2_pair</f>
        <v>1</v>
      </c>
      <c r="HG30" s="53" t="s">
        <v>53</v>
      </c>
      <c r="HI30" s="25"/>
      <c r="HJ30" s="44"/>
      <c r="HM30" s="33" t="s">
        <v>48</v>
      </c>
      <c r="HN30" s="54">
        <f>number_of_cards_required_2_pair</f>
        <v>1</v>
      </c>
      <c r="HO30" s="53" t="s">
        <v>53</v>
      </c>
      <c r="HQ30" s="25"/>
      <c r="HR30" s="44"/>
      <c r="HU30" s="33" t="s">
        <v>48</v>
      </c>
      <c r="HV30" s="54">
        <f>number_of_cards_required_2_pair</f>
        <v>1</v>
      </c>
      <c r="HW30" s="53" t="s">
        <v>53</v>
      </c>
      <c r="HY30" s="25"/>
      <c r="HZ30" s="44"/>
      <c r="IC30" s="33" t="s">
        <v>48</v>
      </c>
      <c r="ID30" s="54">
        <f>number_of_cards_required_2_pair</f>
        <v>1</v>
      </c>
      <c r="IE30" s="53" t="s">
        <v>53</v>
      </c>
      <c r="IG30" s="25"/>
      <c r="IH30" s="44"/>
      <c r="IK30" s="33" t="s">
        <v>48</v>
      </c>
      <c r="IL30" s="54">
        <f>number_of_cards_required_2_pair</f>
        <v>1</v>
      </c>
      <c r="IM30" s="53" t="s">
        <v>53</v>
      </c>
      <c r="IO30" s="25"/>
      <c r="IP30" s="44"/>
      <c r="IS30" s="33" t="s">
        <v>48</v>
      </c>
      <c r="IT30" s="54">
        <f>number_of_cards_required_2_pair</f>
        <v>1</v>
      </c>
      <c r="IU30" s="53" t="s">
        <v>53</v>
      </c>
    </row>
    <row r="31" spans="1:255" x14ac:dyDescent="0.3">
      <c r="A31" s="25"/>
      <c r="B31" s="26"/>
      <c r="C31" s="26"/>
      <c r="D31" s="26"/>
      <c r="E31" s="33"/>
      <c r="F31" s="26"/>
      <c r="G31" s="26"/>
      <c r="H31" s="26"/>
    </row>
    <row r="32" spans="1:255" x14ac:dyDescent="0.3">
      <c r="A32" s="25" t="s">
        <v>44</v>
      </c>
      <c r="B32" s="44" t="s">
        <v>67</v>
      </c>
      <c r="F32" s="54">
        <f>number_of_pairs_required_4</f>
        <v>4</v>
      </c>
      <c r="G32" s="53" t="s">
        <v>51</v>
      </c>
    </row>
    <row r="33" spans="1:8" x14ac:dyDescent="0.3">
      <c r="A33" s="25"/>
      <c r="B33" s="44"/>
      <c r="E33" s="33" t="s">
        <v>71</v>
      </c>
      <c r="F33" s="54">
        <f>channels_required_4_pair</f>
        <v>1</v>
      </c>
      <c r="G33" s="53" t="s">
        <v>72</v>
      </c>
      <c r="H33" s="26"/>
    </row>
    <row r="34" spans="1:8" x14ac:dyDescent="0.3">
      <c r="A34" s="25"/>
      <c r="B34" s="44"/>
      <c r="E34" s="33" t="s">
        <v>48</v>
      </c>
      <c r="F34" s="54">
        <f>number_of_cards_required_4_pair</f>
        <v>1</v>
      </c>
      <c r="G34" s="53" t="s">
        <v>53</v>
      </c>
    </row>
    <row r="35" spans="1:8" x14ac:dyDescent="0.3">
      <c r="A35" s="25"/>
      <c r="B35" s="26"/>
      <c r="C35" s="26"/>
      <c r="D35" s="26"/>
      <c r="E35" s="33"/>
      <c r="F35" s="26"/>
      <c r="G35" s="26"/>
      <c r="H35" s="26"/>
    </row>
    <row r="36" spans="1:8" x14ac:dyDescent="0.3">
      <c r="A36" s="25"/>
      <c r="B36" s="26"/>
      <c r="C36" s="26"/>
      <c r="D36" s="26"/>
      <c r="E36" s="26"/>
      <c r="F36" s="26"/>
      <c r="G36" s="26"/>
      <c r="H36" s="26"/>
    </row>
    <row r="37" spans="1:8" hidden="1" x14ac:dyDescent="0.3">
      <c r="A37" s="37" t="s">
        <v>45</v>
      </c>
      <c r="B37" s="38"/>
      <c r="C37" s="38"/>
      <c r="D37" s="38"/>
      <c r="E37" s="38"/>
      <c r="F37" s="38"/>
      <c r="G37" s="38"/>
      <c r="H37" s="38"/>
    </row>
    <row r="38" spans="1:8" hidden="1" x14ac:dyDescent="0.3">
      <c r="A38" s="37"/>
      <c r="B38" s="38"/>
      <c r="C38" s="38"/>
      <c r="D38" s="38"/>
      <c r="E38" s="38"/>
      <c r="F38" s="38"/>
      <c r="G38" s="38"/>
      <c r="H38" s="38"/>
    </row>
    <row r="39" spans="1:8" hidden="1" x14ac:dyDescent="0.3">
      <c r="A39" s="37"/>
      <c r="B39" s="38" t="s">
        <v>46</v>
      </c>
      <c r="C39" s="38"/>
      <c r="D39" s="38"/>
      <c r="E39" s="39" t="s">
        <v>82</v>
      </c>
      <c r="F39" s="40">
        <f>LOOKUP(wire_gage,wire_gages,ohms_per_thousand_feet)</f>
        <v>27.635357381701436</v>
      </c>
      <c r="G39" s="38" t="s">
        <v>83</v>
      </c>
      <c r="H39" s="38"/>
    </row>
    <row r="40" spans="1:8" hidden="1" x14ac:dyDescent="0.3">
      <c r="A40" s="37"/>
      <c r="B40" s="38"/>
      <c r="C40" s="38"/>
      <c r="D40" s="38"/>
      <c r="E40" s="39"/>
      <c r="F40" s="40"/>
      <c r="G40" s="38"/>
      <c r="H40" s="38"/>
    </row>
    <row r="41" spans="1:8" s="41" customFormat="1" hidden="1" x14ac:dyDescent="0.3">
      <c r="A41" s="45" t="s">
        <v>41</v>
      </c>
      <c r="B41" s="45" t="s">
        <v>75</v>
      </c>
      <c r="C41" s="45"/>
      <c r="F41" s="48">
        <v>1</v>
      </c>
      <c r="G41" s="47" t="s">
        <v>73</v>
      </c>
      <c r="H41" s="46"/>
    </row>
    <row r="42" spans="1:8" hidden="1" x14ac:dyDescent="0.3">
      <c r="A42" s="37"/>
      <c r="B42" s="38"/>
      <c r="C42" s="38"/>
      <c r="D42" s="38"/>
      <c r="E42" s="39" t="s">
        <v>29</v>
      </c>
      <c r="F42" s="40">
        <f>OPTF*one_way_distance*2/1000/number_of_pairs_1</f>
        <v>552.70714763402873</v>
      </c>
      <c r="G42" s="38" t="s">
        <v>24</v>
      </c>
      <c r="H42" s="38"/>
    </row>
    <row r="43" spans="1:8" hidden="1" x14ac:dyDescent="0.3">
      <c r="A43" s="37"/>
      <c r="B43" s="38"/>
      <c r="C43" s="38"/>
      <c r="D43" s="38"/>
      <c r="E43" s="39" t="s">
        <v>33</v>
      </c>
      <c r="F43" s="40">
        <f>min_source_voltage/(2*total_loop_resistance_1)</f>
        <v>0.34195324017257883</v>
      </c>
      <c r="G43" s="38" t="s">
        <v>25</v>
      </c>
      <c r="H43" s="38"/>
    </row>
    <row r="44" spans="1:8" hidden="1" x14ac:dyDescent="0.3">
      <c r="A44" s="37"/>
      <c r="B44" s="38"/>
      <c r="C44" s="38"/>
      <c r="D44" s="38"/>
      <c r="E44" s="39" t="s">
        <v>30</v>
      </c>
      <c r="F44" s="40">
        <f>min_source_current</f>
        <v>0.252</v>
      </c>
      <c r="G44" s="38" t="s">
        <v>25</v>
      </c>
      <c r="H44" s="38"/>
    </row>
    <row r="45" spans="1:8" hidden="1" x14ac:dyDescent="0.3">
      <c r="A45" s="37"/>
      <c r="B45" s="38"/>
      <c r="C45" s="38"/>
      <c r="D45" s="38"/>
      <c r="E45" s="39" t="s">
        <v>31</v>
      </c>
      <c r="F45" s="40">
        <f>MIN(theoretical_max_stable_current_1,min_input_current_threshold)</f>
        <v>0.23300000000000001</v>
      </c>
      <c r="G45" s="38" t="s">
        <v>25</v>
      </c>
      <c r="H45" s="38"/>
    </row>
    <row r="46" spans="1:8" hidden="1" x14ac:dyDescent="0.3">
      <c r="A46" s="37"/>
      <c r="B46" s="38"/>
      <c r="C46" s="38"/>
      <c r="D46" s="38"/>
      <c r="E46" s="39" t="s">
        <v>32</v>
      </c>
      <c r="F46" s="40">
        <f>actual_max_current_1*total_loop_resistance_1</f>
        <v>128.7807653987287</v>
      </c>
      <c r="G46" s="38" t="s">
        <v>26</v>
      </c>
      <c r="H46" s="38"/>
    </row>
    <row r="47" spans="1:8" s="49" customFormat="1" hidden="1" x14ac:dyDescent="0.3">
      <c r="C47" s="50"/>
      <c r="D47" s="50"/>
      <c r="E47" s="51" t="s">
        <v>47</v>
      </c>
      <c r="F47" s="52">
        <f>min_source_voltage-voltage_drop_in_wire_at_actual_max_current_1</f>
        <v>249.2192346012713</v>
      </c>
      <c r="G47" s="50" t="s">
        <v>26</v>
      </c>
      <c r="H47" s="50"/>
    </row>
    <row r="48" spans="1:8" s="49" customFormat="1" hidden="1" x14ac:dyDescent="0.3">
      <c r="C48" s="50"/>
      <c r="D48" s="50"/>
      <c r="E48" s="51" t="s">
        <v>56</v>
      </c>
      <c r="F48" s="52">
        <f>MIN(voltage_available_to_load_1_pair*actual_max_current_1*effeciency,65)</f>
        <v>48.777188596160819</v>
      </c>
      <c r="G48" s="50" t="s">
        <v>80</v>
      </c>
      <c r="H48" s="50"/>
    </row>
    <row r="49" spans="1:8" hidden="1" x14ac:dyDescent="0.3">
      <c r="A49" s="37"/>
      <c r="B49" s="38"/>
      <c r="C49" s="38"/>
      <c r="D49" s="38"/>
      <c r="E49" s="39" t="s">
        <v>79</v>
      </c>
      <c r="F49" s="40">
        <f>INT(watts_at_48v/watts_per_channel_at_1_pair)+1</f>
        <v>1</v>
      </c>
      <c r="G49" s="38" t="s">
        <v>81</v>
      </c>
      <c r="H49" s="38"/>
    </row>
    <row r="50" spans="1:8" hidden="1" x14ac:dyDescent="0.3">
      <c r="A50" s="37"/>
      <c r="B50" s="38"/>
      <c r="C50" s="38"/>
      <c r="D50" s="38"/>
      <c r="E50" s="39" t="s">
        <v>48</v>
      </c>
      <c r="F50" s="40">
        <f>EVEN(channels_required_1_pair)/2</f>
        <v>1</v>
      </c>
      <c r="G50" s="38" t="s">
        <v>50</v>
      </c>
      <c r="H50" s="38"/>
    </row>
    <row r="51" spans="1:8" hidden="1" x14ac:dyDescent="0.3">
      <c r="A51" s="37"/>
      <c r="B51" s="38"/>
      <c r="C51" s="38"/>
      <c r="D51" s="38"/>
      <c r="E51" s="39" t="s">
        <v>54</v>
      </c>
      <c r="F51" s="40">
        <f>number_of_pairs_1*channels_required_1_pair</f>
        <v>1</v>
      </c>
      <c r="G51" s="38" t="s">
        <v>23</v>
      </c>
      <c r="H51" s="38"/>
    </row>
    <row r="52" spans="1:8" hidden="1" x14ac:dyDescent="0.3">
      <c r="A52" s="37"/>
      <c r="B52" s="38"/>
      <c r="C52" s="38"/>
      <c r="D52" s="38"/>
      <c r="E52" s="39"/>
      <c r="F52" s="40"/>
      <c r="G52" s="38"/>
      <c r="H52" s="38"/>
    </row>
    <row r="53" spans="1:8" s="41" customFormat="1" hidden="1" x14ac:dyDescent="0.3">
      <c r="A53" s="45" t="s">
        <v>42</v>
      </c>
      <c r="B53" s="45" t="s">
        <v>76</v>
      </c>
      <c r="C53" s="45"/>
      <c r="F53" s="48">
        <v>2</v>
      </c>
      <c r="G53" s="47" t="s">
        <v>74</v>
      </c>
      <c r="H53" s="46"/>
    </row>
    <row r="54" spans="1:8" hidden="1" x14ac:dyDescent="0.3">
      <c r="A54" s="37"/>
      <c r="B54" s="38"/>
      <c r="C54" s="38"/>
      <c r="D54" s="38"/>
      <c r="E54" s="39" t="s">
        <v>29</v>
      </c>
      <c r="F54" s="40">
        <f>OPTF*one_way_distance*2/1000/number_of_pairs_2</f>
        <v>276.35357381701436</v>
      </c>
      <c r="G54" s="38" t="s">
        <v>24</v>
      </c>
      <c r="H54" s="38"/>
    </row>
    <row r="55" spans="1:8" hidden="1" x14ac:dyDescent="0.3">
      <c r="A55" s="37"/>
      <c r="B55" s="38"/>
      <c r="C55" s="38"/>
      <c r="D55" s="38"/>
      <c r="E55" s="39" t="s">
        <v>33</v>
      </c>
      <c r="F55" s="40">
        <f>min_source_voltage/(2*total_loop_resistance_2)</f>
        <v>0.68390648034515766</v>
      </c>
      <c r="G55" s="38" t="s">
        <v>25</v>
      </c>
      <c r="H55" s="38"/>
    </row>
    <row r="56" spans="1:8" hidden="1" x14ac:dyDescent="0.3">
      <c r="A56" s="37"/>
      <c r="B56" s="38"/>
      <c r="C56" s="38"/>
      <c r="D56" s="38"/>
      <c r="E56" s="39" t="s">
        <v>30</v>
      </c>
      <c r="F56" s="40">
        <f>min_source_current</f>
        <v>0.252</v>
      </c>
      <c r="G56" s="38" t="s">
        <v>25</v>
      </c>
      <c r="H56" s="38"/>
    </row>
    <row r="57" spans="1:8" hidden="1" x14ac:dyDescent="0.3">
      <c r="A57" s="37"/>
      <c r="B57" s="38"/>
      <c r="C57" s="38"/>
      <c r="D57" s="38"/>
      <c r="E57" s="39" t="s">
        <v>31</v>
      </c>
      <c r="F57" s="40">
        <f>MIN(theoretical_max_stable_current_2,min_input_current_threshold)</f>
        <v>0.23300000000000001</v>
      </c>
      <c r="G57" s="38" t="s">
        <v>25</v>
      </c>
      <c r="H57" s="38"/>
    </row>
    <row r="58" spans="1:8" hidden="1" x14ac:dyDescent="0.3">
      <c r="A58" s="37"/>
      <c r="B58" s="38"/>
      <c r="C58" s="38"/>
      <c r="D58" s="38"/>
      <c r="E58" s="39" t="s">
        <v>32</v>
      </c>
      <c r="F58" s="40">
        <f>actual_max_current_2*total_loop_resistance_2</f>
        <v>64.390382699364352</v>
      </c>
      <c r="G58" s="38" t="s">
        <v>26</v>
      </c>
      <c r="H58" s="38"/>
    </row>
    <row r="59" spans="1:8" s="49" customFormat="1" hidden="1" x14ac:dyDescent="0.3">
      <c r="C59" s="50"/>
      <c r="D59" s="50"/>
      <c r="E59" s="51" t="s">
        <v>47</v>
      </c>
      <c r="F59" s="52">
        <f>min_source_voltage-voltage_drop_in_wire_at_actual_max_current_2</f>
        <v>313.60961730063565</v>
      </c>
      <c r="G59" s="50" t="s">
        <v>26</v>
      </c>
      <c r="H59" s="50"/>
    </row>
    <row r="60" spans="1:8" s="49" customFormat="1" hidden="1" x14ac:dyDescent="0.3">
      <c r="C60" s="50"/>
      <c r="D60" s="50"/>
      <c r="E60" s="51" t="s">
        <v>56</v>
      </c>
      <c r="F60" s="52">
        <f>MIN(voltage_available_to_load_2_pair*actual_max_current_2*effeciency,65)</f>
        <v>61.37967429808041</v>
      </c>
      <c r="G60" s="50" t="s">
        <v>80</v>
      </c>
      <c r="H60" s="50"/>
    </row>
    <row r="61" spans="1:8" hidden="1" x14ac:dyDescent="0.3">
      <c r="A61" s="37"/>
      <c r="B61" s="38"/>
      <c r="C61" s="38"/>
      <c r="D61" s="38"/>
      <c r="E61" s="39" t="s">
        <v>79</v>
      </c>
      <c r="F61" s="40">
        <f>INT(watts_at_48v/watts_per_channel_at_2_pair)+1</f>
        <v>1</v>
      </c>
      <c r="G61" s="38" t="s">
        <v>81</v>
      </c>
      <c r="H61" s="38"/>
    </row>
    <row r="62" spans="1:8" hidden="1" x14ac:dyDescent="0.3">
      <c r="A62" s="37"/>
      <c r="B62" s="38"/>
      <c r="C62" s="38"/>
      <c r="D62" s="38"/>
      <c r="E62" s="39" t="s">
        <v>48</v>
      </c>
      <c r="F62" s="40">
        <f>EVEN(channels_required_2_pair)/2</f>
        <v>1</v>
      </c>
      <c r="G62" s="38" t="s">
        <v>50</v>
      </c>
      <c r="H62" s="38"/>
    </row>
    <row r="63" spans="1:8" hidden="1" x14ac:dyDescent="0.3">
      <c r="A63" s="37"/>
      <c r="B63" s="38"/>
      <c r="C63" s="38"/>
      <c r="D63" s="38"/>
      <c r="E63" s="39" t="s">
        <v>54</v>
      </c>
      <c r="F63" s="40">
        <f>number_of_pairs_2*channels_required_2_pair</f>
        <v>2</v>
      </c>
      <c r="G63" s="38" t="s">
        <v>23</v>
      </c>
      <c r="H63" s="38"/>
    </row>
    <row r="64" spans="1:8" hidden="1" x14ac:dyDescent="0.3">
      <c r="A64" s="37"/>
      <c r="B64" s="38"/>
      <c r="C64" s="38"/>
      <c r="D64" s="38"/>
      <c r="E64" s="39"/>
      <c r="F64" s="40"/>
      <c r="G64" s="38"/>
      <c r="H64" s="38"/>
    </row>
    <row r="65" spans="1:8" hidden="1" x14ac:dyDescent="0.3">
      <c r="A65" s="45" t="s">
        <v>43</v>
      </c>
      <c r="B65" s="45" t="s">
        <v>77</v>
      </c>
      <c r="C65" s="45"/>
      <c r="D65" s="41"/>
      <c r="E65" s="41"/>
      <c r="F65" s="48">
        <v>3</v>
      </c>
      <c r="G65" s="47" t="s">
        <v>74</v>
      </c>
      <c r="H65" s="38"/>
    </row>
    <row r="66" spans="1:8" hidden="1" x14ac:dyDescent="0.3">
      <c r="A66" s="37"/>
      <c r="B66" s="38"/>
      <c r="C66" s="38"/>
      <c r="D66" s="38"/>
      <c r="E66" s="39" t="s">
        <v>29</v>
      </c>
      <c r="F66" s="40">
        <f>OPTF*one_way_distance*2/1000/number_of_pairs_3</f>
        <v>184.23571587800959</v>
      </c>
      <c r="G66" s="38" t="s">
        <v>24</v>
      </c>
      <c r="H66" s="38"/>
    </row>
    <row r="67" spans="1:8" hidden="1" x14ac:dyDescent="0.3">
      <c r="A67" s="37"/>
      <c r="B67" s="38"/>
      <c r="C67" s="38"/>
      <c r="D67" s="38"/>
      <c r="E67" s="39" t="s">
        <v>33</v>
      </c>
      <c r="F67" s="40">
        <f>min_source_voltage/(2*total_loop_resistance_3)</f>
        <v>1.0258597205177364</v>
      </c>
      <c r="G67" s="38" t="s">
        <v>25</v>
      </c>
      <c r="H67" s="38"/>
    </row>
    <row r="68" spans="1:8" hidden="1" x14ac:dyDescent="0.3">
      <c r="A68" s="37"/>
      <c r="B68" s="38"/>
      <c r="C68" s="38"/>
      <c r="D68" s="38"/>
      <c r="E68" s="39" t="s">
        <v>30</v>
      </c>
      <c r="F68" s="40">
        <f>min_source_current</f>
        <v>0.252</v>
      </c>
      <c r="G68" s="38" t="s">
        <v>25</v>
      </c>
      <c r="H68" s="38"/>
    </row>
    <row r="69" spans="1:8" hidden="1" x14ac:dyDescent="0.3">
      <c r="A69" s="37"/>
      <c r="B69" s="38"/>
      <c r="C69" s="38"/>
      <c r="D69" s="38"/>
      <c r="E69" s="39" t="s">
        <v>31</v>
      </c>
      <c r="F69" s="40">
        <f>MIN(theoretical_max_stable_current_3,min_input_current_threshold)</f>
        <v>0.23300000000000001</v>
      </c>
      <c r="G69" s="38" t="s">
        <v>25</v>
      </c>
      <c r="H69" s="38"/>
    </row>
    <row r="70" spans="1:8" hidden="1" x14ac:dyDescent="0.3">
      <c r="A70" s="37"/>
      <c r="B70" s="38"/>
      <c r="C70" s="38"/>
      <c r="D70" s="38"/>
      <c r="E70" s="39" t="s">
        <v>32</v>
      </c>
      <c r="F70" s="40">
        <f>actual_max_current_3*total_loop_resistance_3</f>
        <v>42.926921799576235</v>
      </c>
      <c r="G70" s="38" t="s">
        <v>26</v>
      </c>
      <c r="H70" s="38"/>
    </row>
    <row r="71" spans="1:8" hidden="1" x14ac:dyDescent="0.3">
      <c r="A71" s="49"/>
      <c r="B71" s="49"/>
      <c r="C71" s="50"/>
      <c r="D71" s="50"/>
      <c r="E71" s="51" t="s">
        <v>47</v>
      </c>
      <c r="F71" s="52">
        <f>min_source_voltage-voltage_drop_in_wire_at_actual_max_current_3</f>
        <v>335.07307820042377</v>
      </c>
      <c r="G71" s="50" t="s">
        <v>26</v>
      </c>
      <c r="H71" s="38"/>
    </row>
    <row r="72" spans="1:8" hidden="1" x14ac:dyDescent="0.3">
      <c r="A72" s="49"/>
      <c r="B72" s="49"/>
      <c r="C72" s="50"/>
      <c r="D72" s="50"/>
      <c r="E72" s="51" t="s">
        <v>56</v>
      </c>
      <c r="F72" s="52">
        <f>MIN(voltage_available_to_load_3_pair*actual_max_current_3*effeciency,65)</f>
        <v>65</v>
      </c>
      <c r="G72" s="50" t="s">
        <v>80</v>
      </c>
      <c r="H72" s="38"/>
    </row>
    <row r="73" spans="1:8" hidden="1" x14ac:dyDescent="0.3">
      <c r="A73" s="37"/>
      <c r="B73" s="38"/>
      <c r="C73" s="38"/>
      <c r="D73" s="38"/>
      <c r="E73" s="39" t="s">
        <v>79</v>
      </c>
      <c r="F73" s="40">
        <f>INT(watts_at_48v/watts_per_channel_at_3_pair)+1</f>
        <v>1</v>
      </c>
      <c r="G73" s="38" t="s">
        <v>81</v>
      </c>
      <c r="H73" s="38"/>
    </row>
    <row r="74" spans="1:8" hidden="1" x14ac:dyDescent="0.3">
      <c r="A74" s="37"/>
      <c r="B74" s="38"/>
      <c r="C74" s="38"/>
      <c r="D74" s="38"/>
      <c r="E74" s="39" t="s">
        <v>48</v>
      </c>
      <c r="F74" s="40">
        <f>EVEN(channels_required_3_pair)/2</f>
        <v>1</v>
      </c>
      <c r="G74" s="38" t="s">
        <v>50</v>
      </c>
      <c r="H74" s="38"/>
    </row>
    <row r="75" spans="1:8" hidden="1" x14ac:dyDescent="0.3">
      <c r="A75" s="37"/>
      <c r="B75" s="38"/>
      <c r="C75" s="38"/>
      <c r="D75" s="38"/>
      <c r="E75" s="39" t="s">
        <v>54</v>
      </c>
      <c r="F75" s="40">
        <f>number_of_pairs_3*channels_required_3_pair</f>
        <v>3</v>
      </c>
      <c r="G75" s="38" t="s">
        <v>23</v>
      </c>
      <c r="H75" s="38"/>
    </row>
    <row r="76" spans="1:8" hidden="1" x14ac:dyDescent="0.3">
      <c r="A76" s="37"/>
      <c r="B76" s="38"/>
      <c r="C76" s="38"/>
      <c r="D76" s="38"/>
      <c r="E76" s="39"/>
      <c r="F76" s="40"/>
      <c r="G76" s="38"/>
      <c r="H76" s="38"/>
    </row>
    <row r="77" spans="1:8" hidden="1" x14ac:dyDescent="0.3">
      <c r="A77" s="45" t="s">
        <v>44</v>
      </c>
      <c r="B77" s="45" t="s">
        <v>78</v>
      </c>
      <c r="C77" s="45"/>
      <c r="D77" s="41"/>
      <c r="E77" s="41"/>
      <c r="F77" s="48">
        <v>4</v>
      </c>
      <c r="G77" s="47" t="s">
        <v>74</v>
      </c>
      <c r="H77" s="38"/>
    </row>
    <row r="78" spans="1:8" hidden="1" x14ac:dyDescent="0.3">
      <c r="A78" s="37"/>
      <c r="B78" s="38"/>
      <c r="C78" s="38"/>
      <c r="D78" s="38"/>
      <c r="E78" s="39" t="s">
        <v>29</v>
      </c>
      <c r="F78" s="40">
        <f>OPTF*one_way_distance*2/1000/number_of_pairs_4</f>
        <v>138.17678690850718</v>
      </c>
      <c r="G78" s="38" t="s">
        <v>24</v>
      </c>
      <c r="H78" s="38"/>
    </row>
    <row r="79" spans="1:8" hidden="1" x14ac:dyDescent="0.3">
      <c r="A79" s="37"/>
      <c r="B79" s="38"/>
      <c r="C79" s="38"/>
      <c r="D79" s="38"/>
      <c r="E79" s="39" t="s">
        <v>33</v>
      </c>
      <c r="F79" s="40">
        <f>min_source_voltage/(2*total_loop_resistance_4)</f>
        <v>1.3678129606903153</v>
      </c>
      <c r="G79" s="38" t="s">
        <v>25</v>
      </c>
      <c r="H79" s="38"/>
    </row>
    <row r="80" spans="1:8" hidden="1" x14ac:dyDescent="0.3">
      <c r="A80" s="37"/>
      <c r="B80" s="38"/>
      <c r="C80" s="38"/>
      <c r="D80" s="38"/>
      <c r="E80" s="39" t="s">
        <v>30</v>
      </c>
      <c r="F80" s="40">
        <f>min_source_current</f>
        <v>0.252</v>
      </c>
      <c r="G80" s="38" t="s">
        <v>25</v>
      </c>
      <c r="H80" s="38"/>
    </row>
    <row r="81" spans="1:8" hidden="1" x14ac:dyDescent="0.3">
      <c r="A81" s="37"/>
      <c r="B81" s="38"/>
      <c r="C81" s="38"/>
      <c r="D81" s="38"/>
      <c r="E81" s="39" t="s">
        <v>31</v>
      </c>
      <c r="F81" s="40">
        <f>MIN(theoretical_max_stable_current_4,min_input_current_threshold)</f>
        <v>0.23300000000000001</v>
      </c>
      <c r="G81" s="38" t="s">
        <v>25</v>
      </c>
      <c r="H81" s="38"/>
    </row>
    <row r="82" spans="1:8" hidden="1" x14ac:dyDescent="0.3">
      <c r="A82" s="37"/>
      <c r="B82" s="38"/>
      <c r="C82" s="38"/>
      <c r="D82" s="38"/>
      <c r="E82" s="39" t="s">
        <v>32</v>
      </c>
      <c r="F82" s="40">
        <f>actual_max_current_4*total_loop_resistance_4</f>
        <v>32.195191349682176</v>
      </c>
      <c r="G82" s="38" t="s">
        <v>26</v>
      </c>
      <c r="H82" s="38"/>
    </row>
    <row r="83" spans="1:8" hidden="1" x14ac:dyDescent="0.3">
      <c r="A83" s="49"/>
      <c r="B83" s="49"/>
      <c r="C83" s="50"/>
      <c r="D83" s="50"/>
      <c r="E83" s="51" t="s">
        <v>47</v>
      </c>
      <c r="F83" s="52">
        <f>min_source_voltage-voltage_drop_in_wire_at_actual_max_current_4</f>
        <v>345.8048086503178</v>
      </c>
      <c r="G83" s="50" t="s">
        <v>26</v>
      </c>
      <c r="H83" s="38"/>
    </row>
    <row r="84" spans="1:8" hidden="1" x14ac:dyDescent="0.3">
      <c r="A84" s="49"/>
      <c r="B84" s="49"/>
      <c r="C84" s="50"/>
      <c r="D84" s="50"/>
      <c r="E84" s="51" t="s">
        <v>56</v>
      </c>
      <c r="F84" s="52">
        <f>MIN(voltage_available_to_load_4_pair*actual_max_current_4*effeciency,65)</f>
        <v>65</v>
      </c>
      <c r="G84" s="50" t="s">
        <v>80</v>
      </c>
      <c r="H84" s="38"/>
    </row>
    <row r="85" spans="1:8" hidden="1" x14ac:dyDescent="0.3">
      <c r="A85" s="37"/>
      <c r="B85" s="38"/>
      <c r="C85" s="38"/>
      <c r="D85" s="38"/>
      <c r="E85" s="39" t="s">
        <v>79</v>
      </c>
      <c r="F85" s="40">
        <f>INT(watts_at_48v/watts_per_channel_at_4_pair)+1</f>
        <v>1</v>
      </c>
      <c r="G85" s="38" t="s">
        <v>81</v>
      </c>
      <c r="H85" s="38"/>
    </row>
    <row r="86" spans="1:8" hidden="1" x14ac:dyDescent="0.3">
      <c r="A86" s="37"/>
      <c r="B86" s="38"/>
      <c r="C86" s="38"/>
      <c r="D86" s="38"/>
      <c r="E86" s="39" t="s">
        <v>48</v>
      </c>
      <c r="F86" s="40">
        <f>EVEN(channels_required_4_pair)/2</f>
        <v>1</v>
      </c>
      <c r="G86" s="38" t="s">
        <v>50</v>
      </c>
      <c r="H86" s="38"/>
    </row>
    <row r="87" spans="1:8" hidden="1" x14ac:dyDescent="0.3">
      <c r="A87" s="37"/>
      <c r="B87" s="38"/>
      <c r="C87" s="38"/>
      <c r="D87" s="38"/>
      <c r="E87" s="39" t="s">
        <v>54</v>
      </c>
      <c r="F87" s="40">
        <f>number_of_pairs_4*channels_required_4_pair</f>
        <v>4</v>
      </c>
      <c r="G87" s="38" t="s">
        <v>23</v>
      </c>
      <c r="H87" s="38"/>
    </row>
    <row r="88" spans="1:8" hidden="1" x14ac:dyDescent="0.3">
      <c r="A88" s="37"/>
      <c r="B88" s="38"/>
      <c r="C88" s="38"/>
      <c r="D88" s="38"/>
      <c r="E88" s="39"/>
      <c r="F88" s="40"/>
      <c r="G88" s="38"/>
      <c r="H88" s="38"/>
    </row>
    <row r="89" spans="1:8" hidden="1" x14ac:dyDescent="0.3">
      <c r="A89" s="37"/>
      <c r="B89" s="38"/>
      <c r="C89" s="38"/>
      <c r="D89" s="38"/>
      <c r="E89" s="39"/>
      <c r="F89" s="40"/>
      <c r="G89" s="38"/>
      <c r="H89" s="38"/>
    </row>
    <row r="90" spans="1:8" hidden="1" x14ac:dyDescent="0.3">
      <c r="A90" s="37"/>
      <c r="B90" s="38"/>
      <c r="C90" s="38"/>
      <c r="D90" s="38"/>
      <c r="E90" s="39"/>
      <c r="F90" s="40"/>
      <c r="G90" s="38"/>
      <c r="H90" s="38"/>
    </row>
    <row r="91" spans="1:8" hidden="1" x14ac:dyDescent="0.3">
      <c r="A91" s="37"/>
      <c r="B91" s="38"/>
      <c r="C91" s="38"/>
      <c r="D91" s="38"/>
      <c r="E91" s="39"/>
      <c r="F91" s="40"/>
      <c r="G91" s="38"/>
      <c r="H91" s="38"/>
    </row>
    <row r="92" spans="1:8" hidden="1" x14ac:dyDescent="0.3">
      <c r="A92" s="37"/>
      <c r="B92" s="38"/>
      <c r="C92" s="38"/>
      <c r="D92" s="38"/>
      <c r="E92" s="39"/>
      <c r="F92" s="40"/>
      <c r="G92" s="38"/>
      <c r="H92" s="38"/>
    </row>
    <row r="93" spans="1:8" hidden="1" x14ac:dyDescent="0.3">
      <c r="A93" s="37"/>
      <c r="B93" s="38"/>
      <c r="C93" s="38"/>
      <c r="D93" s="38"/>
      <c r="E93" s="39"/>
      <c r="F93" s="40"/>
      <c r="G93" s="38"/>
      <c r="H93" s="38"/>
    </row>
    <row r="94" spans="1:8" hidden="1" x14ac:dyDescent="0.3">
      <c r="A94" s="37"/>
      <c r="B94" s="38"/>
      <c r="C94" s="38"/>
      <c r="D94" s="38"/>
      <c r="E94" s="39"/>
      <c r="F94" s="40"/>
      <c r="G94" s="38"/>
      <c r="H94" s="38"/>
    </row>
    <row r="95" spans="1:8" hidden="1" x14ac:dyDescent="0.3">
      <c r="A95" s="37"/>
      <c r="B95" s="38"/>
      <c r="C95" s="38"/>
      <c r="D95" s="38"/>
      <c r="E95" s="39"/>
      <c r="F95" s="40"/>
      <c r="G95" s="38"/>
      <c r="H95" s="38"/>
    </row>
    <row r="96" spans="1:8" hidden="1" x14ac:dyDescent="0.3">
      <c r="A96" s="37"/>
      <c r="B96" s="38"/>
      <c r="C96" s="38"/>
      <c r="D96" s="38"/>
      <c r="E96" s="39"/>
      <c r="F96" s="40"/>
      <c r="G96" s="38"/>
      <c r="H96" s="38"/>
    </row>
    <row r="97" spans="1:8" hidden="1" x14ac:dyDescent="0.3">
      <c r="A97" s="37"/>
      <c r="B97" s="38"/>
      <c r="C97" s="38"/>
      <c r="D97" s="38"/>
      <c r="E97" s="39"/>
      <c r="F97" s="40"/>
      <c r="G97" s="38"/>
      <c r="H97" s="38"/>
    </row>
    <row r="98" spans="1:8" hidden="1" x14ac:dyDescent="0.3">
      <c r="A98" s="37"/>
      <c r="B98" s="38"/>
      <c r="C98" s="38"/>
      <c r="D98" s="38"/>
      <c r="E98" s="39"/>
      <c r="F98" s="40"/>
      <c r="G98" s="38"/>
      <c r="H98" s="38"/>
    </row>
    <row r="99" spans="1:8" hidden="1" x14ac:dyDescent="0.3">
      <c r="A99" s="37"/>
      <c r="B99" s="38"/>
      <c r="C99" s="38"/>
      <c r="D99" s="38"/>
      <c r="E99" s="39"/>
      <c r="F99" s="40"/>
      <c r="G99" s="38"/>
      <c r="H99" s="38"/>
    </row>
    <row r="100" spans="1:8" hidden="1" x14ac:dyDescent="0.3">
      <c r="A100" s="37"/>
      <c r="B100" s="38"/>
      <c r="C100" s="38"/>
      <c r="D100" s="38"/>
      <c r="E100" s="39"/>
      <c r="F100" s="40"/>
      <c r="G100" s="38"/>
      <c r="H100" s="38"/>
    </row>
    <row r="103" spans="1:8" hidden="1" x14ac:dyDescent="0.3">
      <c r="A103" s="37"/>
      <c r="B103" s="38"/>
      <c r="C103" s="38"/>
      <c r="D103" s="38"/>
      <c r="E103" s="39"/>
      <c r="F103" s="40"/>
      <c r="G103" s="38"/>
      <c r="H103" s="38"/>
    </row>
    <row r="104" spans="1:8" hidden="1" x14ac:dyDescent="0.3">
      <c r="A104" s="37"/>
      <c r="B104" s="38"/>
      <c r="C104" s="38"/>
      <c r="D104" s="38"/>
      <c r="E104" s="39"/>
      <c r="F104" s="40"/>
      <c r="G104" s="38"/>
      <c r="H104" s="38"/>
    </row>
    <row r="105" spans="1:8" hidden="1" x14ac:dyDescent="0.3">
      <c r="A105" s="37"/>
      <c r="B105" s="38"/>
      <c r="C105" s="38"/>
      <c r="D105" s="38"/>
      <c r="E105" s="38"/>
      <c r="F105" s="38"/>
      <c r="G105" s="38"/>
      <c r="H105" s="38"/>
    </row>
    <row r="107" spans="1:8" ht="12.75" hidden="1" customHeight="1" x14ac:dyDescent="0.3"/>
  </sheetData>
  <sheetProtection password="ED30" sheet="1" selectLockedCells="1"/>
  <customSheetViews>
    <customSheetView guid="{80BCE19E-6A83-47B6-B8B9-5AD5475E47AD}" scale="75" showRuler="0">
      <selection activeCell="I26" sqref="A1:I26"/>
      <pageMargins left="0.75" right="0.75" top="1" bottom="1" header="0.5" footer="0.5"/>
      <pageSetup orientation="portrait" horizontalDpi="300" verticalDpi="300" r:id="rId1"/>
      <headerFooter alignWithMargins="0"/>
    </customSheetView>
  </customSheetViews>
  <mergeCells count="3">
    <mergeCell ref="C4:C5"/>
    <mergeCell ref="C6:C7"/>
    <mergeCell ref="A16:E17"/>
  </mergeCells>
  <phoneticPr fontId="1" type="noConversion"/>
  <dataValidations count="3">
    <dataValidation type="whole" allowBlank="1" showInputMessage="1" showErrorMessage="1" sqref="F15" xr:uid="{00000000-0002-0000-0000-000000000000}">
      <formula1>10</formula1>
      <formula2>60000</formula2>
    </dataValidation>
    <dataValidation type="list" allowBlank="1" showInputMessage="1" showErrorMessage="1" sqref="F13" xr:uid="{00000000-0002-0000-0000-000001000000}">
      <formula1>wire_gages</formula1>
    </dataValidation>
    <dataValidation type="whole" allowBlank="1" showInputMessage="1" showErrorMessage="1" sqref="F11" xr:uid="{00000000-0002-0000-0000-000002000000}">
      <formula1>5</formula1>
      <formula2>4000</formula2>
    </dataValidation>
  </dataValidations>
  <pageMargins left="0.75" right="0.75" top="1" bottom="1" header="0.5" footer="0.5"/>
  <pageSetup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showRowColHeaders="0" workbookViewId="0">
      <selection activeCell="I6" sqref="I6:I27"/>
    </sheetView>
  </sheetViews>
  <sheetFormatPr defaultColWidth="0" defaultRowHeight="14" zeroHeight="1" x14ac:dyDescent="0.3"/>
  <cols>
    <col min="1" max="1" width="0.33203125" style="9" customWidth="1"/>
    <col min="2" max="2" width="9.08203125" style="9" bestFit="1" customWidth="1"/>
    <col min="3" max="3" width="8.25" style="10" customWidth="1"/>
    <col min="4" max="4" width="8.25" style="9" customWidth="1"/>
    <col min="5" max="5" width="10.08203125" style="10" bestFit="1" customWidth="1"/>
    <col min="6" max="6" width="8.25" style="11" customWidth="1"/>
    <col min="7" max="7" width="10.58203125" style="11" customWidth="1"/>
    <col min="8" max="8" width="10.58203125" style="13" bestFit="1" customWidth="1"/>
    <col min="9" max="9" width="9.58203125" style="13" bestFit="1" customWidth="1"/>
    <col min="10" max="11" width="0" hidden="1" customWidth="1"/>
    <col min="12" max="12" width="8.83203125" style="21" hidden="1" customWidth="1"/>
  </cols>
  <sheetData>
    <row r="1" spans="1:12" s="5" customFormat="1" x14ac:dyDescent="0.3">
      <c r="A1" s="1" t="s">
        <v>1</v>
      </c>
      <c r="B1" s="1" t="s">
        <v>1</v>
      </c>
      <c r="C1" s="2" t="s">
        <v>2</v>
      </c>
      <c r="D1" s="61" t="s">
        <v>3</v>
      </c>
      <c r="E1" s="62"/>
      <c r="F1" s="3" t="s">
        <v>4</v>
      </c>
      <c r="G1" s="3" t="s">
        <v>5</v>
      </c>
      <c r="H1" s="4" t="s">
        <v>6</v>
      </c>
      <c r="I1" s="4" t="s">
        <v>6</v>
      </c>
      <c r="K1"/>
      <c r="L1" s="6"/>
    </row>
    <row r="2" spans="1:12" s="5" customFormat="1" x14ac:dyDescent="0.3">
      <c r="A2" s="1" t="s">
        <v>7</v>
      </c>
      <c r="B2" s="1" t="s">
        <v>7</v>
      </c>
      <c r="C2" s="2" t="s">
        <v>8</v>
      </c>
      <c r="D2" s="1" t="s">
        <v>9</v>
      </c>
      <c r="E2" s="2" t="s">
        <v>10</v>
      </c>
      <c r="F2" s="3" t="s">
        <v>11</v>
      </c>
      <c r="G2" s="3" t="s">
        <v>12</v>
      </c>
      <c r="H2" s="7" t="s">
        <v>13</v>
      </c>
      <c r="I2" s="7" t="s">
        <v>14</v>
      </c>
      <c r="K2"/>
      <c r="L2" s="6"/>
    </row>
    <row r="3" spans="1:12" s="5" customFormat="1" x14ac:dyDescent="0.3">
      <c r="A3" s="1"/>
      <c r="B3" s="1"/>
      <c r="C3" s="2"/>
      <c r="D3" s="1"/>
      <c r="E3" s="2"/>
      <c r="F3" s="3"/>
      <c r="G3" s="8" t="s">
        <v>15</v>
      </c>
      <c r="H3" s="7"/>
      <c r="I3" s="7"/>
      <c r="K3"/>
      <c r="L3" s="6"/>
    </row>
    <row r="4" spans="1:12" x14ac:dyDescent="0.3">
      <c r="G4" s="12">
        <v>6.0899999999999996E-8</v>
      </c>
      <c r="L4" s="6"/>
    </row>
    <row r="5" spans="1:12" x14ac:dyDescent="0.3">
      <c r="A5" s="14">
        <v>-3</v>
      </c>
      <c r="B5" s="14" t="s">
        <v>16</v>
      </c>
      <c r="C5" s="10">
        <f>0.005*92^((36-A5)/39)</f>
        <v>0.46</v>
      </c>
      <c r="D5" s="15">
        <f>C5^2*1000000</f>
        <v>211600</v>
      </c>
      <c r="E5" s="10">
        <f>(C5/2)^2*3.1415926</f>
        <v>0.16619024854</v>
      </c>
      <c r="F5" s="16">
        <v>640.54999999999995</v>
      </c>
      <c r="G5" s="16"/>
      <c r="H5" s="10">
        <f t="shared" ref="H5:H27" si="0">resistivity*1000/(E5/144)</f>
        <v>5.2768439045262405E-2</v>
      </c>
      <c r="I5" s="10">
        <f>H5*3.2808399</f>
        <v>0.17312480028041483</v>
      </c>
      <c r="L5" s="6"/>
    </row>
    <row r="6" spans="1:12" x14ac:dyDescent="0.3">
      <c r="A6" s="14">
        <v>-2</v>
      </c>
      <c r="B6" s="14" t="s">
        <v>17</v>
      </c>
      <c r="C6" s="10">
        <f>0.005*92^((36-A6)/39)</f>
        <v>0.40964183004149557</v>
      </c>
      <c r="D6" s="15">
        <f t="shared" ref="D6:D27" si="1">C6^2*1000000</f>
        <v>167806.42891974555</v>
      </c>
      <c r="E6" s="10">
        <f t="shared" ref="E6:E19" si="2">(C6/2)^2*3.1415926</f>
        <v>0.13179485883167463</v>
      </c>
      <c r="F6" s="16">
        <f>F5*E6/E5</f>
        <v>507.97924406683831</v>
      </c>
      <c r="G6" s="16"/>
      <c r="H6" s="10">
        <f t="shared" si="0"/>
        <v>6.6539773081743123E-2</v>
      </c>
      <c r="I6" s="10">
        <f t="shared" ref="I6:I27" si="3">H6*3.2808399</f>
        <v>0.21830634246352881</v>
      </c>
      <c r="L6" s="6"/>
    </row>
    <row r="7" spans="1:12" x14ac:dyDescent="0.3">
      <c r="A7" s="14">
        <v>-1</v>
      </c>
      <c r="B7" s="14" t="s">
        <v>18</v>
      </c>
      <c r="C7" s="10">
        <f>0.005*92^((36-A7)/39)</f>
        <v>0.3647965846081424</v>
      </c>
      <c r="D7" s="15">
        <f t="shared" si="1"/>
        <v>133076.54814176558</v>
      </c>
      <c r="E7" s="10">
        <f t="shared" si="2"/>
        <v>0.10451807471892863</v>
      </c>
      <c r="F7" s="16">
        <f t="shared" ref="F7:F19" si="4">F6*E7/E6</f>
        <v>402.84585497262731</v>
      </c>
      <c r="G7" s="16"/>
      <c r="H7" s="10">
        <f t="shared" si="0"/>
        <v>8.390510467766768E-2</v>
      </c>
      <c r="I7" s="10">
        <f t="shared" si="3"/>
        <v>0.2752792152401688</v>
      </c>
      <c r="L7" s="6"/>
    </row>
    <row r="8" spans="1:12" x14ac:dyDescent="0.3">
      <c r="A8" s="14">
        <v>0</v>
      </c>
      <c r="B8" s="14" t="s">
        <v>19</v>
      </c>
      <c r="C8" s="10">
        <f>0.005*92^((36-A8)/39)</f>
        <v>0.32486074024297112</v>
      </c>
      <c r="D8" s="15">
        <f t="shared" si="1"/>
        <v>105534.50055121117</v>
      </c>
      <c r="E8" s="17">
        <f t="shared" si="2"/>
        <v>8.2886601494095227E-2</v>
      </c>
      <c r="F8" s="16">
        <f t="shared" si="4"/>
        <v>319.47128699469897</v>
      </c>
      <c r="G8" s="16"/>
      <c r="H8" s="18">
        <f t="shared" si="0"/>
        <v>0.10580238352063137</v>
      </c>
      <c r="I8" s="10">
        <f t="shared" si="3"/>
        <v>0.3471206813695899</v>
      </c>
      <c r="L8" s="6"/>
    </row>
    <row r="9" spans="1:12" x14ac:dyDescent="0.3">
      <c r="A9" s="9">
        <v>1</v>
      </c>
      <c r="B9" s="9">
        <v>1</v>
      </c>
      <c r="C9" s="10">
        <f>0.005*92^((36-A9)/39)</f>
        <v>0.28929684378644693</v>
      </c>
      <c r="D9" s="15">
        <f t="shared" si="1"/>
        <v>83692.663824799878</v>
      </c>
      <c r="E9" s="17">
        <f t="shared" si="2"/>
        <v>6.5732063336569752E-2</v>
      </c>
      <c r="F9" s="16">
        <f t="shared" si="4"/>
        <v>253.3522486435518</v>
      </c>
      <c r="G9" s="16"/>
      <c r="H9" s="18">
        <f t="shared" si="0"/>
        <v>0.13341434232935556</v>
      </c>
      <c r="I9" s="10">
        <f t="shared" si="3"/>
        <v>0.43771109754640869</v>
      </c>
      <c r="L9" s="6"/>
    </row>
    <row r="10" spans="1:12" x14ac:dyDescent="0.3">
      <c r="A10" s="9">
        <v>2</v>
      </c>
      <c r="B10" s="9">
        <v>2</v>
      </c>
      <c r="C10" s="10">
        <f t="shared" ref="C10:C27" si="5">0.005*92^((36-A10)/39)</f>
        <v>0.25762627937806243</v>
      </c>
      <c r="D10" s="15">
        <f t="shared" si="1"/>
        <v>66371.299826183473</v>
      </c>
      <c r="E10" s="17">
        <f t="shared" si="2"/>
        <v>5.2127896096579827E-2</v>
      </c>
      <c r="F10" s="16">
        <f t="shared" si="4"/>
        <v>200.91746740860978</v>
      </c>
      <c r="G10" s="16"/>
      <c r="H10" s="18">
        <f t="shared" si="0"/>
        <v>0.1682323795257753</v>
      </c>
      <c r="I10" s="10">
        <f t="shared" si="3"/>
        <v>0.55194350322010666</v>
      </c>
      <c r="L10" s="6"/>
    </row>
    <row r="11" spans="1:12" x14ac:dyDescent="0.3">
      <c r="A11" s="9">
        <v>3</v>
      </c>
      <c r="B11" s="9">
        <v>3</v>
      </c>
      <c r="C11" s="10">
        <f t="shared" si="5"/>
        <v>0.22942282728524144</v>
      </c>
      <c r="D11" s="15">
        <f t="shared" si="1"/>
        <v>52634.833679553725</v>
      </c>
      <c r="E11" s="17">
        <f t="shared" si="2"/>
        <v>4.1339300997479192E-2</v>
      </c>
      <c r="F11" s="16">
        <f t="shared" si="4"/>
        <v>159.33479543212732</v>
      </c>
      <c r="G11" s="16"/>
      <c r="H11" s="18">
        <f t="shared" si="0"/>
        <v>0.21213711379722547</v>
      </c>
      <c r="I11" s="10">
        <f t="shared" si="3"/>
        <v>0.69598790721677783</v>
      </c>
      <c r="L11" s="6"/>
    </row>
    <row r="12" spans="1:12" x14ac:dyDescent="0.3">
      <c r="A12" s="9">
        <v>4</v>
      </c>
      <c r="B12" s="9">
        <v>4</v>
      </c>
      <c r="C12" s="10">
        <f t="shared" si="5"/>
        <v>0.20430692787482665</v>
      </c>
      <c r="D12" s="15">
        <f t="shared" si="1"/>
        <v>41741.32077764962</v>
      </c>
      <c r="E12" s="17">
        <f t="shared" si="2"/>
        <v>3.2783556117322574E-2</v>
      </c>
      <c r="F12" s="16">
        <f t="shared" si="4"/>
        <v>126.35823735408066</v>
      </c>
      <c r="G12" s="16"/>
      <c r="H12" s="18">
        <f t="shared" si="0"/>
        <v>0.26749996152388761</v>
      </c>
      <c r="I12" s="10">
        <f t="shared" si="3"/>
        <v>0.87762454701603532</v>
      </c>
      <c r="L12" s="6"/>
    </row>
    <row r="13" spans="1:12" x14ac:dyDescent="0.3">
      <c r="A13" s="9">
        <v>6</v>
      </c>
      <c r="B13" s="9">
        <v>6</v>
      </c>
      <c r="C13" s="10">
        <f t="shared" si="5"/>
        <v>0.16202275978373659</v>
      </c>
      <c r="D13" s="15">
        <f t="shared" si="1"/>
        <v>26251.374687938413</v>
      </c>
      <c r="E13" s="17">
        <f t="shared" si="2"/>
        <v>2.0617781114863655E-2</v>
      </c>
      <c r="F13" s="16">
        <f t="shared" si="4"/>
        <v>79.467476636857043</v>
      </c>
      <c r="G13" s="16"/>
      <c r="H13" s="18">
        <f t="shared" si="0"/>
        <v>0.42534159961945994</v>
      </c>
      <c r="I13" s="10">
        <f t="shared" si="3"/>
        <v>1.3954776911613491</v>
      </c>
      <c r="L13" s="6"/>
    </row>
    <row r="14" spans="1:12" x14ac:dyDescent="0.3">
      <c r="A14" s="9">
        <v>8</v>
      </c>
      <c r="B14" s="9">
        <v>8</v>
      </c>
      <c r="C14" s="10">
        <f t="shared" si="5"/>
        <v>0.1284898899954186</v>
      </c>
      <c r="D14" s="15">
        <f t="shared" si="1"/>
        <v>16509.651831034771</v>
      </c>
      <c r="E14" s="17">
        <f t="shared" si="2"/>
        <v>1.2966650005238823E-2</v>
      </c>
      <c r="F14" s="16">
        <f t="shared" si="4"/>
        <v>49.977587336338964</v>
      </c>
      <c r="G14" s="16"/>
      <c r="H14" s="18">
        <f t="shared" si="0"/>
        <v>0.67631963509903337</v>
      </c>
      <c r="I14" s="10">
        <f t="shared" si="3"/>
        <v>2.218896443986349</v>
      </c>
      <c r="L14" s="6"/>
    </row>
    <row r="15" spans="1:12" x14ac:dyDescent="0.3">
      <c r="A15" s="9">
        <v>10</v>
      </c>
      <c r="B15" s="9">
        <v>10</v>
      </c>
      <c r="C15" s="10">
        <f t="shared" si="5"/>
        <v>0.10189711527609703</v>
      </c>
      <c r="D15" s="15">
        <f t="shared" si="1"/>
        <v>10383.022101590208</v>
      </c>
      <c r="E15" s="19">
        <f t="shared" si="2"/>
        <v>8.1548063499980606E-3</v>
      </c>
      <c r="F15" s="16">
        <f t="shared" si="4"/>
        <v>31.431213644487748</v>
      </c>
      <c r="G15" s="16"/>
      <c r="H15" s="20">
        <f t="shared" si="0"/>
        <v>1.07539034326696</v>
      </c>
      <c r="I15" s="10">
        <f t="shared" si="3"/>
        <v>3.5281835462649389</v>
      </c>
      <c r="L15" s="6"/>
    </row>
    <row r="16" spans="1:12" x14ac:dyDescent="0.3">
      <c r="A16" s="9">
        <v>12</v>
      </c>
      <c r="B16" s="9">
        <v>12</v>
      </c>
      <c r="C16" s="17">
        <f t="shared" si="5"/>
        <v>8.0808086161179044E-2</v>
      </c>
      <c r="D16" s="15">
        <f t="shared" si="1"/>
        <v>6529.9467890325368</v>
      </c>
      <c r="E16" s="19">
        <f t="shared" si="2"/>
        <v>5.1286081277045941E-3</v>
      </c>
      <c r="F16" s="16">
        <f t="shared" si="4"/>
        <v>19.767284573321319</v>
      </c>
      <c r="G16" s="16"/>
      <c r="H16" s="20">
        <f t="shared" si="0"/>
        <v>1.7099376247186586</v>
      </c>
      <c r="I16" s="10">
        <f t="shared" si="3"/>
        <v>5.6100315856882021</v>
      </c>
      <c r="L16" s="6"/>
    </row>
    <row r="17" spans="1:12" x14ac:dyDescent="0.3">
      <c r="A17" s="9">
        <v>14</v>
      </c>
      <c r="B17" s="9">
        <v>14</v>
      </c>
      <c r="C17" s="17">
        <f t="shared" si="5"/>
        <v>6.408372573982303E-2</v>
      </c>
      <c r="D17" s="15">
        <f t="shared" si="1"/>
        <v>4106.7239046968571</v>
      </c>
      <c r="E17" s="19">
        <f t="shared" si="2"/>
        <v>3.2254133573096878E-3</v>
      </c>
      <c r="F17" s="16">
        <f t="shared" si="4"/>
        <v>12.431767472370378</v>
      </c>
      <c r="G17" s="16"/>
      <c r="H17" s="20">
        <f t="shared" si="0"/>
        <v>2.7189073239638066</v>
      </c>
      <c r="I17" s="10">
        <f t="shared" si="3"/>
        <v>8.9202996328626831</v>
      </c>
      <c r="L17" s="6"/>
    </row>
    <row r="18" spans="1:12" x14ac:dyDescent="0.3">
      <c r="A18" s="9">
        <v>16</v>
      </c>
      <c r="B18" s="9">
        <v>16</v>
      </c>
      <c r="C18" s="17">
        <f t="shared" si="5"/>
        <v>5.0820704954026831E-2</v>
      </c>
      <c r="D18" s="15">
        <f t="shared" si="1"/>
        <v>2582.7440520242476</v>
      </c>
      <c r="E18" s="19">
        <f t="shared" si="2"/>
        <v>2.0284824003833479E-3</v>
      </c>
      <c r="F18" s="16">
        <f t="shared" si="4"/>
        <v>7.8184154183560111</v>
      </c>
      <c r="G18" s="16"/>
      <c r="H18" s="20">
        <f t="shared" si="0"/>
        <v>4.3232319877868779</v>
      </c>
      <c r="I18" s="10">
        <f t="shared" si="3"/>
        <v>14.183832002487502</v>
      </c>
      <c r="L18" s="6"/>
    </row>
    <row r="19" spans="1:12" x14ac:dyDescent="0.3">
      <c r="A19" s="9">
        <v>18</v>
      </c>
      <c r="B19" s="9">
        <v>18</v>
      </c>
      <c r="C19" s="17">
        <f t="shared" si="5"/>
        <v>4.0302651292624107E-2</v>
      </c>
      <c r="D19" s="15">
        <f t="shared" si="1"/>
        <v>1624.3037012148557</v>
      </c>
      <c r="E19" s="19">
        <f t="shared" si="2"/>
        <v>1.2757251219723004E-3</v>
      </c>
      <c r="F19" s="16">
        <f t="shared" si="4"/>
        <v>4.9170497911775799</v>
      </c>
      <c r="G19" s="16"/>
      <c r="H19" s="20">
        <f t="shared" si="0"/>
        <v>6.8742081259966064</v>
      </c>
      <c r="I19" s="10">
        <f t="shared" si="3"/>
        <v>22.553176300673893</v>
      </c>
      <c r="L19" s="6"/>
    </row>
    <row r="20" spans="1:12" x14ac:dyDescent="0.3">
      <c r="A20" s="9">
        <v>19</v>
      </c>
      <c r="B20" s="9">
        <v>19</v>
      </c>
      <c r="C20" s="17">
        <f t="shared" si="5"/>
        <v>3.5890547458771259E-2</v>
      </c>
      <c r="D20" s="15">
        <f t="shared" si="1"/>
        <v>1288.1313968903121</v>
      </c>
      <c r="E20" s="19">
        <f>(C20/2)^2*3.1415926</f>
        <v>1.0116960160745669E-3</v>
      </c>
      <c r="F20" s="16">
        <f>F19*E20/E19</f>
        <v>3.8993977612386077</v>
      </c>
      <c r="G20" s="16"/>
      <c r="H20" s="20">
        <f t="shared" si="0"/>
        <v>8.668216401628726</v>
      </c>
      <c r="I20" s="10">
        <f t="shared" si="3"/>
        <v>28.439030232297949</v>
      </c>
      <c r="L20" s="6"/>
    </row>
    <row r="21" spans="1:12" x14ac:dyDescent="0.3">
      <c r="A21" s="9">
        <v>20</v>
      </c>
      <c r="B21" s="9">
        <v>20</v>
      </c>
      <c r="C21" s="17">
        <f t="shared" si="5"/>
        <v>3.196145552652653E-2</v>
      </c>
      <c r="D21" s="15">
        <f t="shared" si="1"/>
        <v>1021.5346393741332</v>
      </c>
      <c r="E21" s="19">
        <f t="shared" ref="E21:E27" si="6">(C21/2)^2*3.1415926</f>
        <v>8.0231141592536142E-4</v>
      </c>
      <c r="F21" s="16">
        <f t="shared" ref="F21:F27" si="7">F20*E21/E20</f>
        <v>3.0923630115836533</v>
      </c>
      <c r="G21" s="16"/>
      <c r="H21" s="16">
        <f t="shared" si="0"/>
        <v>10.930419069115963</v>
      </c>
      <c r="I21" s="10">
        <f t="shared" si="3"/>
        <v>35.860955005676509</v>
      </c>
      <c r="L21" s="6"/>
    </row>
    <row r="22" spans="1:12" x14ac:dyDescent="0.3">
      <c r="A22" s="9">
        <v>21</v>
      </c>
      <c r="B22" s="9">
        <v>21</v>
      </c>
      <c r="C22" s="17">
        <f t="shared" si="5"/>
        <v>2.8462498114513474E-2</v>
      </c>
      <c r="D22" s="15">
        <f t="shared" si="1"/>
        <v>810.11379891868307</v>
      </c>
      <c r="E22" s="19">
        <f t="shared" si="6"/>
        <v>6.3626187896020567E-4</v>
      </c>
      <c r="F22" s="16">
        <f t="shared" si="7"/>
        <v>2.4523553586831874</v>
      </c>
      <c r="G22" s="16"/>
      <c r="H22" s="16">
        <f t="shared" si="0"/>
        <v>13.783003964234803</v>
      </c>
      <c r="I22" s="10">
        <f t="shared" si="3"/>
        <v>45.219829347719717</v>
      </c>
      <c r="L22" s="6"/>
    </row>
    <row r="23" spans="1:12" x14ac:dyDescent="0.3">
      <c r="A23" s="9">
        <v>22</v>
      </c>
      <c r="B23" s="9">
        <v>22</v>
      </c>
      <c r="C23" s="17">
        <f t="shared" si="5"/>
        <v>2.5346586554743283E-2</v>
      </c>
      <c r="D23" s="15">
        <f t="shared" si="1"/>
        <v>642.44944997709308</v>
      </c>
      <c r="E23" s="19">
        <f t="shared" si="6"/>
        <v>5.0457860948052637E-4</v>
      </c>
      <c r="F23" s="16">
        <f t="shared" si="7"/>
        <v>1.9448062154197869</v>
      </c>
      <c r="G23" s="16"/>
      <c r="H23" s="16">
        <f t="shared" si="0"/>
        <v>17.380047103123289</v>
      </c>
      <c r="I23" s="10">
        <f t="shared" si="3"/>
        <v>57.0211519998063</v>
      </c>
      <c r="L23" s="6"/>
    </row>
    <row r="24" spans="1:12" x14ac:dyDescent="0.3">
      <c r="A24" s="9">
        <v>23</v>
      </c>
      <c r="B24" s="9">
        <v>23</v>
      </c>
      <c r="C24" s="17">
        <f t="shared" si="5"/>
        <v>2.2571787177370007E-2</v>
      </c>
      <c r="D24" s="15">
        <f t="shared" si="1"/>
        <v>509.48557638048504</v>
      </c>
      <c r="E24" s="19">
        <f t="shared" si="6"/>
        <v>4.0014902914091666E-4</v>
      </c>
      <c r="F24" s="16">
        <f t="shared" si="7"/>
        <v>1.542301445890925</v>
      </c>
      <c r="G24" s="16"/>
      <c r="H24" s="16">
        <f t="shared" si="0"/>
        <v>21.915834754934998</v>
      </c>
      <c r="I24" s="10">
        <f t="shared" si="3"/>
        <v>71.902345105797465</v>
      </c>
      <c r="L24" s="6"/>
    </row>
    <row r="25" spans="1:12" x14ac:dyDescent="0.3">
      <c r="A25" s="9">
        <v>24</v>
      </c>
      <c r="B25" s="9">
        <v>24</v>
      </c>
      <c r="C25" s="17">
        <f t="shared" si="5"/>
        <v>2.0100756970967418E-2</v>
      </c>
      <c r="D25" s="15">
        <f t="shared" si="1"/>
        <v>404.04043080589531</v>
      </c>
      <c r="E25" s="19">
        <f t="shared" si="6"/>
        <v>3.1733260688015315E-4</v>
      </c>
      <c r="F25" s="16">
        <f t="shared" si="7"/>
        <v>1.2231006519504548</v>
      </c>
      <c r="G25" s="16"/>
      <c r="H25" s="16">
        <f t="shared" si="0"/>
        <v>27.635357381701436</v>
      </c>
      <c r="I25" s="10">
        <f t="shared" si="3"/>
        <v>90.667183148645606</v>
      </c>
      <c r="L25" s="6"/>
    </row>
    <row r="26" spans="1:12" x14ac:dyDescent="0.3">
      <c r="A26" s="9">
        <v>25</v>
      </c>
      <c r="B26" s="9">
        <v>25</v>
      </c>
      <c r="C26" s="17">
        <f t="shared" si="5"/>
        <v>1.7900241023492258E-2</v>
      </c>
      <c r="D26" s="15">
        <f t="shared" si="1"/>
        <v>320.41862869911517</v>
      </c>
      <c r="E26" s="19">
        <f t="shared" si="6"/>
        <v>2.5165619820582199E-4</v>
      </c>
      <c r="F26" s="16">
        <f t="shared" si="7"/>
        <v>0.96996291405112589</v>
      </c>
      <c r="G26" s="16"/>
      <c r="H26" s="16">
        <f t="shared" si="0"/>
        <v>34.847542252178542</v>
      </c>
      <c r="I26" s="10">
        <f t="shared" si="3"/>
        <v>114.32920703788322</v>
      </c>
      <c r="L26" s="6"/>
    </row>
    <row r="27" spans="1:12" x14ac:dyDescent="0.3">
      <c r="A27" s="9">
        <v>26</v>
      </c>
      <c r="B27" s="9">
        <v>26</v>
      </c>
      <c r="C27" s="17">
        <f t="shared" si="5"/>
        <v>1.5940624980537436E-2</v>
      </c>
      <c r="D27" s="15">
        <f t="shared" si="1"/>
        <v>254.10352477013413</v>
      </c>
      <c r="E27" s="19">
        <f t="shared" si="6"/>
        <v>1.9957243826294253E-4</v>
      </c>
      <c r="F27" s="16">
        <f t="shared" si="7"/>
        <v>0.76921556139654734</v>
      </c>
      <c r="G27" s="16"/>
      <c r="H27" s="16">
        <f t="shared" si="0"/>
        <v>43.941939459825583</v>
      </c>
      <c r="I27" s="10">
        <f t="shared" si="3"/>
        <v>144.16646826318023</v>
      </c>
      <c r="L27" s="6"/>
    </row>
    <row r="28" spans="1:12" hidden="1" x14ac:dyDescent="0.3">
      <c r="L28" s="6"/>
    </row>
    <row r="29" spans="1:12" hidden="1" x14ac:dyDescent="0.3">
      <c r="L29" s="6"/>
    </row>
    <row r="30" spans="1:12" hidden="1" x14ac:dyDescent="0.3">
      <c r="L30" s="6"/>
    </row>
    <row r="34" spans="1:2" hidden="1" x14ac:dyDescent="0.3">
      <c r="A34" s="12"/>
      <c r="B34" s="12"/>
    </row>
  </sheetData>
  <sheetProtection selectLockedCells="1" selectUnlockedCells="1"/>
  <customSheetViews>
    <customSheetView guid="{80BCE19E-6A83-47B6-B8B9-5AD5475E47AD}" showRuler="0" topLeftCell="B1">
      <selection activeCell="H27" sqref="H16:H27"/>
      <pageMargins left="0.75" right="0.75" top="1" bottom="1" header="0.5" footer="0.5"/>
      <headerFooter alignWithMargins="0"/>
    </customSheetView>
  </customSheetViews>
  <mergeCells count="1">
    <mergeCell ref="D1:E1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55</vt:i4>
      </vt:variant>
    </vt:vector>
  </HeadingPairs>
  <TitlesOfParts>
    <vt:vector size="57" baseType="lpstr">
      <vt:lpstr>Input Parameters</vt:lpstr>
      <vt:lpstr>Wire Resistance Data Set</vt:lpstr>
      <vt:lpstr>actual_max_current_1</vt:lpstr>
      <vt:lpstr>actual_max_current_2</vt:lpstr>
      <vt:lpstr>actual_max_current_3</vt:lpstr>
      <vt:lpstr>actual_max_current_4</vt:lpstr>
      <vt:lpstr>channels_required_1_pair</vt:lpstr>
      <vt:lpstr>channels_required_2_pair</vt:lpstr>
      <vt:lpstr>channels_required_3_pair</vt:lpstr>
      <vt:lpstr>channels_required_4_pair</vt:lpstr>
      <vt:lpstr>effeciency</vt:lpstr>
      <vt:lpstr>min_input_current_threshold</vt:lpstr>
      <vt:lpstr>min_source_current</vt:lpstr>
      <vt:lpstr>min_source_voltage</vt:lpstr>
      <vt:lpstr>number_of_cards_required_1_pair</vt:lpstr>
      <vt:lpstr>number_of_cards_required_2_pair</vt:lpstr>
      <vt:lpstr>number_of_cards_required_3_pair</vt:lpstr>
      <vt:lpstr>number_of_cards_required_4_pair</vt:lpstr>
      <vt:lpstr>number_of_pairs_1</vt:lpstr>
      <vt:lpstr>number_of_pairs_2</vt:lpstr>
      <vt:lpstr>number_of_pairs_3</vt:lpstr>
      <vt:lpstr>number_of_pairs_4</vt:lpstr>
      <vt:lpstr>number_of_pairs_required_1</vt:lpstr>
      <vt:lpstr>number_of_pairs_required_2</vt:lpstr>
      <vt:lpstr>number_of_pairs_required_3</vt:lpstr>
      <vt:lpstr>number_of_pairs_required_4</vt:lpstr>
      <vt:lpstr>ohms_per_thousand_feet</vt:lpstr>
      <vt:lpstr>ohms_per_thousand_meters</vt:lpstr>
      <vt:lpstr>one_way_distance</vt:lpstr>
      <vt:lpstr>OPTF</vt:lpstr>
      <vt:lpstr>'Input Parameters'!Print_Area</vt:lpstr>
      <vt:lpstr>resistivity</vt:lpstr>
      <vt:lpstr>theoretical_max_stable_current</vt:lpstr>
      <vt:lpstr>theoretical_max_stable_current_1</vt:lpstr>
      <vt:lpstr>theoretical_max_stable_current_2</vt:lpstr>
      <vt:lpstr>theoretical_max_stable_current_3</vt:lpstr>
      <vt:lpstr>theoretical_max_stable_current_4</vt:lpstr>
      <vt:lpstr>total_loop_resistance_1</vt:lpstr>
      <vt:lpstr>total_loop_resistance_2</vt:lpstr>
      <vt:lpstr>total_loop_resistance_3</vt:lpstr>
      <vt:lpstr>total_loop_resistance_4</vt:lpstr>
      <vt:lpstr>VA_limited_current</vt:lpstr>
      <vt:lpstr>voltage_available_to_load_1_pair</vt:lpstr>
      <vt:lpstr>voltage_available_to_load_2_pair</vt:lpstr>
      <vt:lpstr>voltage_available_to_load_3_pair</vt:lpstr>
      <vt:lpstr>voltage_available_to_load_4_pair</vt:lpstr>
      <vt:lpstr>voltage_drop_in_wire_at_actual_max_current_1</vt:lpstr>
      <vt:lpstr>voltage_drop_in_wire_at_actual_max_current_2</vt:lpstr>
      <vt:lpstr>voltage_drop_in_wire_at_actual_max_current_3</vt:lpstr>
      <vt:lpstr>voltage_drop_in_wire_at_actual_max_current_4</vt:lpstr>
      <vt:lpstr>watts_at_48v</vt:lpstr>
      <vt:lpstr>watts_per_channel_at_1_pair</vt:lpstr>
      <vt:lpstr>watts_per_channel_at_2_pair</vt:lpstr>
      <vt:lpstr>watts_per_channel_at_3_pair</vt:lpstr>
      <vt:lpstr>watts_per_channel_at_4_pair</vt:lpstr>
      <vt:lpstr>wire_gage</vt:lpstr>
      <vt:lpstr>wire_gages</vt:lpstr>
    </vt:vector>
  </TitlesOfParts>
  <Company>Tyco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Buskmiller</dc:creator>
  <cp:lastModifiedBy>Paul Smith</cp:lastModifiedBy>
  <cp:lastPrinted>2005-11-20T12:29:48Z</cp:lastPrinted>
  <dcterms:created xsi:type="dcterms:W3CDTF">2005-09-30T06:31:09Z</dcterms:created>
  <dcterms:modified xsi:type="dcterms:W3CDTF">2023-10-04T20:24:49Z</dcterms:modified>
</cp:coreProperties>
</file>